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1365" windowWidth="12120" windowHeight="6285" activeTab="0"/>
  </bookViews>
  <sheets>
    <sheet name="FY 23-24" sheetId="1" r:id="rId1"/>
    <sheet name="FY 22-23" sheetId="2" r:id="rId2"/>
    <sheet name="FY 21-22" sheetId="3" r:id="rId3"/>
    <sheet name="FY 20-21" sheetId="4" r:id="rId4"/>
    <sheet name="FY 19-20" sheetId="5" r:id="rId5"/>
    <sheet name="FY 18-19" sheetId="6" r:id="rId6"/>
    <sheet name="FY 17-18" sheetId="7" r:id="rId7"/>
    <sheet name="FY 16-17" sheetId="8" r:id="rId8"/>
    <sheet name="FY 15-16" sheetId="9" r:id="rId9"/>
    <sheet name="FY 14-15" sheetId="10" r:id="rId10"/>
    <sheet name="FY 13-14" sheetId="11" r:id="rId11"/>
    <sheet name="FY 12-13" sheetId="12" r:id="rId12"/>
    <sheet name="FY 11-12" sheetId="13" r:id="rId13"/>
    <sheet name="FY 10-11" sheetId="14" r:id="rId14"/>
    <sheet name="FY 09-10" sheetId="15" r:id="rId15"/>
    <sheet name="FY 08-09" sheetId="16" r:id="rId16"/>
    <sheet name="FY 07-08" sheetId="17" r:id="rId17"/>
    <sheet name="FY 06-07" sheetId="18" r:id="rId18"/>
    <sheet name="FY 05-06" sheetId="19" r:id="rId19"/>
  </sheets>
  <definedNames>
    <definedName name="_xlfn.IFERROR" hidden="1">#NAME?</definedName>
    <definedName name="_xlnm.Print_Area" localSheetId="18">'FY 05-06'!$A$1:$K$68</definedName>
    <definedName name="_xlnm.Print_Area" localSheetId="17">'FY 06-07'!$A$1:$K$64</definedName>
    <definedName name="_xlnm.Print_Area" localSheetId="16">'FY 07-08'!$A$1:$K$71</definedName>
    <definedName name="_xlnm.Print_Area" localSheetId="15">'FY 08-09'!$A$1:$L$76</definedName>
    <definedName name="_xlnm.Print_Area" localSheetId="14">'FY 09-10'!$A$1:$L$75</definedName>
    <definedName name="_xlnm.Print_Area" localSheetId="13">'FY 10-11'!$A$1:$L$78</definedName>
    <definedName name="_xlnm.Print_Area" localSheetId="12">'FY 11-12'!$A$1:$M$77</definedName>
    <definedName name="_xlnm.Print_Area" localSheetId="11">'FY 12-13'!$A$1:$M$77</definedName>
    <definedName name="_xlnm.Print_Area" localSheetId="10">'FY 13-14'!$A$1:$M$77</definedName>
    <definedName name="_xlnm.Print_Area" localSheetId="9">'FY 14-15'!$A$1:$M$76</definedName>
    <definedName name="_xlnm.Print_Area" localSheetId="8">'FY 15-16'!$A$1:$M$76</definedName>
    <definedName name="_xlnm.Print_Area" localSheetId="7">'FY 16-17'!$A$1:$M$76</definedName>
    <definedName name="_xlnm.Print_Area" localSheetId="6">'FY 17-18'!$A$1:$M$76</definedName>
    <definedName name="_xlnm.Print_Area" localSheetId="5">'FY 18-19'!$A$1:$M$76</definedName>
    <definedName name="_xlnm.Print_Area" localSheetId="4">'FY 19-20'!$A$1:$K$70</definedName>
    <definedName name="_xlnm.Print_Area" localSheetId="3">'FY 20-21'!$A$1:$K$70</definedName>
    <definedName name="_xlnm.Print_Area" localSheetId="2">'FY 21-22'!$A$1:$K$70</definedName>
    <definedName name="_xlnm.Print_Area" localSheetId="1">'FY 22-23'!$A$1:$K$70</definedName>
    <definedName name="_xlnm.Print_Area" localSheetId="0">'FY 23-24'!$A$1:$K$70</definedName>
  </definedNames>
  <calcPr fullCalcOnLoad="1"/>
</workbook>
</file>

<file path=xl/sharedStrings.xml><?xml version="1.0" encoding="utf-8"?>
<sst xmlns="http://schemas.openxmlformats.org/spreadsheetml/2006/main" count="1400" uniqueCount="130">
  <si>
    <t>8315 Park Road</t>
  </si>
  <si>
    <t>Batavia, NY 14020</t>
  </si>
  <si>
    <t>www.batavia-downs.com</t>
  </si>
  <si>
    <t>(585) 343-3750</t>
  </si>
  <si>
    <t>Fiscal Year 2005/06</t>
  </si>
  <si>
    <t>Distribution of Net Win:</t>
  </si>
  <si>
    <t>Credits</t>
  </si>
  <si>
    <t>Avg Daily</t>
  </si>
  <si>
    <t>Win/VGM</t>
  </si>
  <si>
    <t>Education</t>
  </si>
  <si>
    <t>Marketing</t>
  </si>
  <si>
    <t>Month</t>
  </si>
  <si>
    <t>Played</t>
  </si>
  <si>
    <t>Won</t>
  </si>
  <si>
    <t>Net Win</t>
  </si>
  <si>
    <t>VGM's</t>
  </si>
  <si>
    <t>per Day</t>
  </si>
  <si>
    <t>Contribution</t>
  </si>
  <si>
    <t>Commission</t>
  </si>
  <si>
    <t>Allowance</t>
  </si>
  <si>
    <t>Total</t>
  </si>
  <si>
    <t>Definition of Terms</t>
  </si>
  <si>
    <t>Credits Played:</t>
  </si>
  <si>
    <t>Credits Won:</t>
  </si>
  <si>
    <t>The amount of onscreen credits won on a VGM.  Also includes any progressive jackpot liability due to players.</t>
  </si>
  <si>
    <t>Net Win:</t>
  </si>
  <si>
    <t xml:space="preserve">The net revenues remaining after payout of prizes to players. (Credits Played less Credits Won)  Net win is </t>
  </si>
  <si>
    <t>commonly referred to as "Hold" or "Net Machine Income".</t>
  </si>
  <si>
    <t>Education Contribution:</t>
  </si>
  <si>
    <t>The portion of Net Win allocated to the State Education Fund for direct aid to education.</t>
  </si>
  <si>
    <t>Marketing Allowance:</t>
  </si>
  <si>
    <t>Distribution of Net Win per Legislation</t>
  </si>
  <si>
    <t>4/1/05 - 4/12/05:</t>
  </si>
  <si>
    <t>All net win</t>
  </si>
  <si>
    <t>Effective 4/13/05, per amended legislation:</t>
  </si>
  <si>
    <t>First $50 million net win annually</t>
  </si>
  <si>
    <t>$50 - $100 million net win</t>
  </si>
  <si>
    <t>$100 - $150 million net win</t>
  </si>
  <si>
    <t>Over $150 million net win</t>
  </si>
  <si>
    <t xml:space="preserve"> </t>
  </si>
  <si>
    <t>Source:  New York Lottery</t>
  </si>
  <si>
    <t>Fiscal Year 2006/07</t>
  </si>
  <si>
    <t>Fiscal Year 2007/08</t>
  </si>
  <si>
    <t>Aid to Municipalities with Video Lottery Gaming Facilities Program</t>
  </si>
  <si>
    <t>City of Batavia</t>
  </si>
  <si>
    <t>Town of Batavia</t>
  </si>
  <si>
    <t>Genessee County</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</si>
  <si>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2007 host municipalities of the Batavia Downs Gaming facility received the following aid payments: </t>
  </si>
  <si>
    <t>Fiscal Year 2008/2009</t>
  </si>
  <si>
    <t>Capital</t>
  </si>
  <si>
    <t>Award</t>
  </si>
  <si>
    <t>Capital Award:</t>
  </si>
  <si>
    <t>The net revenues remaining after payout of prizes to players. (Credits Played less Credits Won)  Net win is commonly referred to as "Hold"</t>
  </si>
  <si>
    <t>or "Net Machine Income".</t>
  </si>
  <si>
    <t>The portion of Net Win allocated to the operators of the gaming facility that is restricted for capital project investments which improve the</t>
  </si>
  <si>
    <t>of $2.5 million.</t>
  </si>
  <si>
    <t>facilities and promote or encourage increased attendance at the video gaming facility. The Capital Award is subject to an annual cap</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</si>
  <si>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2008 host municipalities of the Batavia Downs Gaming facility received the following aid payments: </t>
  </si>
  <si>
    <t>$50 - $62.5 million net win</t>
  </si>
  <si>
    <t>$62.5 - $100 million net win</t>
  </si>
  <si>
    <t>Batavia Downs Casino</t>
  </si>
  <si>
    <t>Fiscal Year 2009/2010</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</si>
  <si>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2009 host municipalities of the Batavia Downs Gaming facility received the following aid payments: </t>
  </si>
  <si>
    <t>referred to as "Hold" or "Net Machine Income".</t>
  </si>
  <si>
    <t>The net revenues remaining after payout of prizes to players. (Credits Played less Credits Won)  Net win is commonly</t>
  </si>
  <si>
    <t>The portion of Net Win allocated to the operators of the gaming facility that is restricted for capital project investments</t>
  </si>
  <si>
    <t>is subject to an annual cap of $2.5 million.</t>
  </si>
  <si>
    <t>which improve the facilities and promote or encourage increased attendance at the video gaming facility. The Capital Award</t>
  </si>
  <si>
    <t>Fiscal Year 2010/2011</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</si>
  <si>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2010 host municipalities of the Batavia Downs Gaming facility received the following aid payments: </t>
  </si>
  <si>
    <t xml:space="preserve">                Note: The percentages above reflect revised legislation that went into effect August 11, 2010. This legislation lowered Racetrack Commissions</t>
  </si>
  <si>
    <t xml:space="preserve">                and increased Education Contribution by 1%.</t>
  </si>
  <si>
    <t>Free Play</t>
  </si>
  <si>
    <t>Fiscal Year 2011/2012</t>
  </si>
  <si>
    <t>Agent Commission:</t>
  </si>
  <si>
    <t>The portion of Net Win paid to the casino operator as compensation for operating the gaming facility. Most operating expenses</t>
  </si>
  <si>
    <t xml:space="preserve">The portion of the Net Win paid to the casino operator to finance the costs of advertising, marketing and promoting </t>
  </si>
  <si>
    <t>video lottery play at the casino.</t>
  </si>
  <si>
    <t>Gaming Floor &amp; Admin</t>
  </si>
  <si>
    <t xml:space="preserve">The portion of Net Win used to reimburse gaming floor vendors (central system and game machine providers) and </t>
  </si>
  <si>
    <t>administer the Video Gaming Program (sometimes labeled "Lottery Administration").</t>
  </si>
  <si>
    <t xml:space="preserve">of the gaming facility are paid from the agent commission (including the horse racing subsidies), with the exception of the </t>
  </si>
  <si>
    <t xml:space="preserve">gaming floor itself, which is provided by the other vendors and paid for by the Lottery. </t>
  </si>
  <si>
    <t>Agent</t>
  </si>
  <si>
    <t>Gaming Floor</t>
  </si>
  <si>
    <t>&amp; Admin</t>
  </si>
  <si>
    <t>Gaming Floor &amp; Admin:</t>
  </si>
  <si>
    <t>The amount of promotional free play included in Credits Played that is subsidized by the State through a reduction to Net Win.</t>
  </si>
  <si>
    <t>Agent Commission</t>
  </si>
  <si>
    <t>Operator</t>
  </si>
  <si>
    <t>Purses</t>
  </si>
  <si>
    <t>Breeders</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</si>
  <si>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2011 host municipalities of the Batavia Downs Casino facility received the following aid payments: </t>
  </si>
  <si>
    <t>Fiscal Year 2012/2013</t>
  </si>
  <si>
    <t>The amount of onscreen credits wagered on a video gaming machine (VGM).  This amount includes Credits Played resulting</t>
  </si>
  <si>
    <t>from; (a) cash and vouchers inserted into a VGM, and (b) any Credits Won used to make a wager on a VGM.</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</si>
  <si>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2012 host municipalities of the Batavia Downs Casino facility received the following aid payments: </t>
  </si>
  <si>
    <t>Free Play Allowance:</t>
  </si>
  <si>
    <t>Source:  New York State Gaming Commission</t>
  </si>
  <si>
    <t>Fiscal Year 2013/2014</t>
  </si>
  <si>
    <t>Batavia Downs Gaming</t>
  </si>
  <si>
    <t>The amount of onscreen credits won on a VGM (prize payout).  Also includes any progressive jackpot liability due to players.</t>
  </si>
  <si>
    <t>Fiscal Year 2014/2015</t>
  </si>
  <si>
    <t>The portion of Net Win paid to the operator as compensation for operating the gaming facility. Most operating expenses</t>
  </si>
  <si>
    <t xml:space="preserve">The portion of the Net Win paid to the operator to finance the costs of advertising, marketing and promoting </t>
  </si>
  <si>
    <t>video lottery play at the facility.</t>
  </si>
  <si>
    <t>Fiscal Year 2015/2016</t>
  </si>
  <si>
    <t>$62.5 - $150 million net win</t>
  </si>
  <si>
    <t>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2015-2016 host municipalities of the Batavia Downs Casino facility were scheduled to receive the following aid payments:</t>
  </si>
  <si>
    <t>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2014-2015 host municipalities of the Batavia Downs Casino facility were scheduled to receive the following aid payments:</t>
  </si>
  <si>
    <t>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2013-2014 host municipalities of the Batavia Downs Casino facility were scheduled to receive the following aid payments:</t>
  </si>
  <si>
    <t>Fiscal Year 2016/2017</t>
  </si>
  <si>
    <t>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2016-2017 host municipalities of the Batavia Downs Casino facility were scheduled to receive the following aid payments:</t>
  </si>
  <si>
    <t>Fiscal Year 2017/2018</t>
  </si>
  <si>
    <t>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2017-2018 host municipalities of the Batavia Downs Casino facility were scheduled to receive the following aid payments:</t>
  </si>
  <si>
    <t>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2018-2019 host municipalities of the Batavia Downs Casino facility were scheduled to receive the following aid payments:</t>
  </si>
  <si>
    <t>Fiscal Year 2018/2019</t>
  </si>
  <si>
    <t>Fiscal Year 2019/2020</t>
  </si>
  <si>
    <t>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2019-2020 host municipalities of the Batavia Downs Casino facility were scheduled to receive the following aid payments:</t>
  </si>
  <si>
    <t>Pursuant to the new provisions, agent commission rates are inclusive of marketing and capital award funds. Agents shall</t>
  </si>
  <si>
    <r>
      <t>Effective April 12</t>
    </r>
    <r>
      <rPr>
        <vertAlign val="superscript"/>
        <sz val="10"/>
        <rFont val="Arial"/>
        <family val="2"/>
      </rPr>
      <t>th</t>
    </r>
    <r>
      <rPr>
        <sz val="10"/>
        <rFont val="Arial"/>
        <family val="2"/>
      </rPr>
      <t xml:space="preserve">, Chapter 59 of the Laws of 2019 repealed and replaced the existing marketing and capital award programs. </t>
    </r>
  </si>
  <si>
    <t>dedicate 4% of net win, subject to a $2.5 million annual cap, to capital award projects.</t>
  </si>
  <si>
    <t>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2020-2021 host municipalities of the Batavia Downs Casino facility were scheduled to receive the following aid payments:</t>
  </si>
  <si>
    <t>Fiscal Year 2020/2021</t>
  </si>
  <si>
    <t>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2021-2022 host municipalities of the Batavia Downs Casino facility were scheduled to receive the following aid payments:</t>
  </si>
  <si>
    <t>Fiscal Year 2021/2022</t>
  </si>
  <si>
    <t>Fiscal Year 2022/2023</t>
  </si>
  <si>
    <t>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2022-2023 host municipalities of the Batavia Downs Casino facility were scheduled to receive the following aid payments:</t>
  </si>
  <si>
    <t>Fiscal Year 2023/2024</t>
  </si>
  <si>
    <t>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2023-2024 host municipalities of the Batavia Downs Casino facility were scheduled to receive the following aid payments: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</si>
</sst>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 numFmtId="166" formatCode="&quot;$&quot;#,##0.0_);[Red]\(&quot;$&quot;#,##0.0\)"/>
    <numFmt numFmtId="167" formatCode="[$-409]h:mm:ss\ AM/PM"/>
    <numFmt numFmtId="168" formatCode="0.00%;[Red]\(0.00%\)"/>
    <numFmt numFmtId="169" formatCode="m/d/yy;@"/>
    <numFmt numFmtId="170" formatCode="[Red]0.00%\)\(0.00%\)"/>
    <numFmt numFmtId="171" formatCode="0.00%_);[Red]\(0.00%\)"/>
    <numFmt numFmtId="172" formatCode="mmm\-yyyy"/>
    <numFmt numFmtId="173" formatCode="0.0%_);[Red]\(0.0%\)"/>
    <numFmt numFmtId="174" formatCode="0%_);[Red]\(0%\)"/>
    <numFmt numFmtId="175" formatCode="&quot;$&quot;#,##0.00"/>
    <numFmt numFmtId="176" formatCode="&quot;$&quot;#,##0.0"/>
    <numFmt numFmtId="177" formatCode="&quot;$&quot;#,##0"/>
    <numFmt numFmtId="178" formatCode="&quot;Yes&quot;;&quot;Yes&quot;;&quot;No&quot;"/>
    <numFmt numFmtId="179" formatCode="&quot;True&quot;;&quot;True&quot;;&quot;False&quot;"/>
    <numFmt numFmtId="180" formatCode="&quot;On&quot;;&quot;On&quot;;&quot;Off&quot;"/>
    <numFmt numFmtId="181" formatCode="[$€-2]\ #,##0.00_);[Red]\([$€-2]\ #,##0.00\)"/>
  </numFmts>
  <fonts count="51">
    <font>
      <sz val="10"/>
      <name val="Arial"/>
      <family val="0"/>
    </font>
    <font>
      <sz val="10"/>
      <color indexed="8"/>
      <name val="Arial"/>
      <family val="2"/>
    </font>
    <font>
      <u val="single"/>
      <sz val="10"/>
      <color indexed="36"/>
      <name val="Arial"/>
      <family val="2"/>
    </font>
    <font>
      <u val="single"/>
      <sz val="10"/>
      <color indexed="12"/>
      <name val="Arial"/>
      <family val="2"/>
    </font>
    <font>
      <sz val="8"/>
      <name val="Arial"/>
      <family val="2"/>
    </font>
    <font>
      <b/>
      <sz val="14"/>
      <name val="Arial"/>
      <family val="2"/>
    </font>
    <font>
      <sz val="12"/>
      <name val="Arial"/>
      <family val="2"/>
    </font>
    <font>
      <u val="single"/>
      <sz val="11"/>
      <color indexed="12"/>
      <name val="Arial"/>
      <family val="2"/>
    </font>
    <font>
      <sz val="11"/>
      <name val="Arial"/>
      <family val="2"/>
    </font>
    <font>
      <b/>
      <sz val="10"/>
      <name val="Arial"/>
      <family val="2"/>
    </font>
    <font>
      <b/>
      <sz val="9"/>
      <name val="Arial"/>
      <family val="2"/>
    </font>
    <font>
      <sz val="9"/>
      <name val="Arial"/>
      <family val="2"/>
    </font>
    <font>
      <b/>
      <vertAlign val="superscript"/>
      <sz val="9"/>
      <name val="Arial"/>
      <family val="2"/>
    </font>
    <font>
      <b/>
      <i/>
      <u val="single"/>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vertical="top"/>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1" fillId="0" borderId="0">
      <alignment vertical="top"/>
      <protection/>
    </xf>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9">
    <xf numFmtId="0" fontId="0" fillId="0" borderId="0" xfId="0" applyAlignment="1">
      <alignment/>
    </xf>
    <xf numFmtId="0" fontId="0" fillId="0" borderId="0" xfId="0" applyAlignment="1">
      <alignment horizontal="center"/>
    </xf>
    <xf numFmtId="6" fontId="8" fillId="0" borderId="0" xfId="0" applyNumberFormat="1" applyFont="1" applyAlignment="1">
      <alignment horizontal="center"/>
    </xf>
    <xf numFmtId="165" fontId="0" fillId="0" borderId="0" xfId="0" applyNumberFormat="1" applyAlignment="1">
      <alignment horizontal="center"/>
    </xf>
    <xf numFmtId="6" fontId="0" fillId="0" borderId="0" xfId="0" applyNumberFormat="1" applyAlignment="1">
      <alignment horizontal="left"/>
    </xf>
    <xf numFmtId="6" fontId="0" fillId="0" borderId="0" xfId="0" applyNumberFormat="1" applyAlignment="1">
      <alignment horizontal="center"/>
    </xf>
    <xf numFmtId="38" fontId="0" fillId="0" borderId="0" xfId="0" applyNumberFormat="1" applyAlignment="1">
      <alignment horizontal="center"/>
    </xf>
    <xf numFmtId="0" fontId="0" fillId="0" borderId="0" xfId="0" applyFont="1" applyAlignment="1">
      <alignment horizontal="center"/>
    </xf>
    <xf numFmtId="6" fontId="10" fillId="0" borderId="10" xfId="0" applyNumberFormat="1" applyFont="1" applyBorder="1" applyAlignment="1">
      <alignment horizontal="center"/>
    </xf>
    <xf numFmtId="165" fontId="10" fillId="0" borderId="0" xfId="0" applyNumberFormat="1" applyFont="1" applyAlignment="1">
      <alignment horizontal="center"/>
    </xf>
    <xf numFmtId="6" fontId="10" fillId="0" borderId="0" xfId="0" applyNumberFormat="1" applyFont="1" applyAlignment="1">
      <alignment horizontal="center"/>
    </xf>
    <xf numFmtId="38" fontId="10" fillId="0" borderId="0" xfId="0" applyNumberFormat="1" applyFont="1" applyAlignment="1">
      <alignment horizontal="center"/>
    </xf>
    <xf numFmtId="0" fontId="10" fillId="0" borderId="0" xfId="0" applyFont="1" applyAlignment="1">
      <alignment horizontal="center"/>
    </xf>
    <xf numFmtId="165" fontId="10" fillId="0" borderId="10" xfId="0" applyNumberFormat="1" applyFont="1" applyBorder="1" applyAlignment="1">
      <alignment horizontal="center"/>
    </xf>
    <xf numFmtId="38" fontId="10" fillId="0" borderId="10" xfId="0" applyNumberFormat="1" applyFont="1" applyBorder="1" applyAlignment="1">
      <alignment horizontal="center"/>
    </xf>
    <xf numFmtId="6" fontId="10" fillId="0" borderId="0" xfId="0" applyNumberFormat="1" applyFont="1" applyBorder="1" applyAlignment="1">
      <alignment horizontal="center"/>
    </xf>
    <xf numFmtId="6" fontId="0" fillId="0" borderId="0" xfId="0" applyNumberFormat="1" applyAlignment="1">
      <alignment/>
    </xf>
    <xf numFmtId="38" fontId="0" fillId="0" borderId="0" xfId="0" applyNumberFormat="1" applyAlignment="1">
      <alignment/>
    </xf>
    <xf numFmtId="6" fontId="0" fillId="0" borderId="11" xfId="0" applyNumberFormat="1" applyBorder="1" applyAlignment="1">
      <alignment/>
    </xf>
    <xf numFmtId="6" fontId="0" fillId="0" borderId="0" xfId="0" applyNumberFormat="1" applyBorder="1" applyAlignment="1">
      <alignment/>
    </xf>
    <xf numFmtId="171" fontId="0" fillId="0" borderId="0" xfId="0" applyNumberFormat="1" applyAlignment="1">
      <alignment horizontal="center"/>
    </xf>
    <xf numFmtId="171" fontId="0" fillId="0" borderId="0" xfId="0" applyNumberFormat="1" applyBorder="1" applyAlignment="1">
      <alignment/>
    </xf>
    <xf numFmtId="171" fontId="0" fillId="0" borderId="0" xfId="0" applyNumberFormat="1" applyAlignment="1">
      <alignment/>
    </xf>
    <xf numFmtId="0" fontId="0" fillId="0" borderId="0" xfId="0" applyFont="1" applyAlignment="1">
      <alignment/>
    </xf>
    <xf numFmtId="165" fontId="0" fillId="0" borderId="0" xfId="0" applyNumberFormat="1" applyAlignment="1">
      <alignment horizontal="left"/>
    </xf>
    <xf numFmtId="165" fontId="9" fillId="0" borderId="0" xfId="0" applyNumberFormat="1" applyFont="1" applyAlignment="1">
      <alignment horizontal="left"/>
    </xf>
    <xf numFmtId="6" fontId="0" fillId="0" borderId="0" xfId="0" applyNumberFormat="1" applyFont="1" applyAlignment="1">
      <alignment/>
    </xf>
    <xf numFmtId="38" fontId="0" fillId="0" borderId="0" xfId="0" applyNumberFormat="1" applyFont="1" applyAlignment="1">
      <alignment/>
    </xf>
    <xf numFmtId="165" fontId="0" fillId="0" borderId="0" xfId="0" applyNumberFormat="1" applyFont="1" applyAlignment="1">
      <alignment horizontal="left"/>
    </xf>
    <xf numFmtId="165" fontId="11" fillId="0" borderId="0" xfId="0" applyNumberFormat="1" applyFont="1" applyAlignment="1">
      <alignment horizontal="left"/>
    </xf>
    <xf numFmtId="6" fontId="11" fillId="0" borderId="0" xfId="0" applyNumberFormat="1" applyFont="1" applyAlignment="1">
      <alignment/>
    </xf>
    <xf numFmtId="38" fontId="11" fillId="0" borderId="0" xfId="0" applyNumberFormat="1" applyFont="1" applyAlignment="1">
      <alignment/>
    </xf>
    <xf numFmtId="0" fontId="12" fillId="0" borderId="0" xfId="0" applyFont="1" applyAlignment="1">
      <alignment/>
    </xf>
    <xf numFmtId="6" fontId="9" fillId="0" borderId="0" xfId="0" applyNumberFormat="1" applyFont="1" applyAlignment="1">
      <alignment/>
    </xf>
    <xf numFmtId="6" fontId="11" fillId="0" borderId="0" xfId="0" applyNumberFormat="1" applyFont="1" applyBorder="1" applyAlignment="1">
      <alignment horizontal="center"/>
    </xf>
    <xf numFmtId="0" fontId="11" fillId="0" borderId="0" xfId="0" applyFont="1" applyAlignment="1">
      <alignment/>
    </xf>
    <xf numFmtId="6" fontId="9" fillId="0" borderId="10" xfId="0" applyNumberFormat="1" applyFont="1" applyBorder="1" applyAlignment="1">
      <alignment/>
    </xf>
    <xf numFmtId="6" fontId="13" fillId="0" borderId="0" xfId="0" applyNumberFormat="1" applyFont="1" applyAlignment="1">
      <alignment/>
    </xf>
    <xf numFmtId="6" fontId="9" fillId="0" borderId="0" xfId="0" applyNumberFormat="1" applyFont="1" applyBorder="1" applyAlignment="1">
      <alignment/>
    </xf>
    <xf numFmtId="0" fontId="0" fillId="0" borderId="0" xfId="0" applyFont="1" applyAlignment="1">
      <alignment horizontal="left" vertical="top"/>
    </xf>
    <xf numFmtId="9" fontId="0" fillId="0" borderId="0" xfId="0" applyNumberFormat="1" applyFont="1" applyAlignment="1">
      <alignment horizontal="center"/>
    </xf>
    <xf numFmtId="9" fontId="11" fillId="0" borderId="0" xfId="0" applyNumberFormat="1" applyFont="1" applyBorder="1" applyAlignment="1">
      <alignment horizontal="center"/>
    </xf>
    <xf numFmtId="6" fontId="5" fillId="0" borderId="0" xfId="0" applyNumberFormat="1" applyFont="1" applyAlignment="1">
      <alignment/>
    </xf>
    <xf numFmtId="6" fontId="0" fillId="0" borderId="0" xfId="0" applyNumberFormat="1" applyFont="1" applyAlignment="1">
      <alignment wrapText="1"/>
    </xf>
    <xf numFmtId="165" fontId="0" fillId="0" borderId="0" xfId="0" applyNumberFormat="1" applyAlignment="1">
      <alignment/>
    </xf>
    <xf numFmtId="165" fontId="9" fillId="0" borderId="0" xfId="61" applyNumberFormat="1" applyFont="1" applyAlignment="1">
      <alignment horizontal="left"/>
      <protection/>
    </xf>
    <xf numFmtId="6" fontId="0" fillId="0" borderId="0" xfId="61" applyNumberFormat="1" applyFont="1">
      <alignment vertical="top"/>
      <protection/>
    </xf>
    <xf numFmtId="6" fontId="1" fillId="0" borderId="0" xfId="61" applyNumberFormat="1">
      <alignment vertical="top"/>
      <protection/>
    </xf>
    <xf numFmtId="38" fontId="0" fillId="0" borderId="0" xfId="61" applyNumberFormat="1" applyFont="1">
      <alignment vertical="top"/>
      <protection/>
    </xf>
    <xf numFmtId="0" fontId="1" fillId="0" borderId="0" xfId="61">
      <alignment vertical="top"/>
      <protection/>
    </xf>
    <xf numFmtId="165" fontId="0" fillId="0" borderId="0" xfId="61" applyNumberFormat="1" applyFont="1" applyAlignment="1">
      <alignment horizontal="left"/>
      <protection/>
    </xf>
    <xf numFmtId="6" fontId="10" fillId="0" borderId="0" xfId="61" applyNumberFormat="1" applyFont="1" applyAlignment="1">
      <alignment horizontal="center"/>
      <protection/>
    </xf>
    <xf numFmtId="6" fontId="10" fillId="0" borderId="10" xfId="61" applyNumberFormat="1" applyFont="1" applyBorder="1" applyAlignment="1">
      <alignment horizontal="center"/>
      <protection/>
    </xf>
    <xf numFmtId="6" fontId="10" fillId="0" borderId="10" xfId="0" applyNumberFormat="1" applyFont="1" applyBorder="1" applyAlignment="1">
      <alignment horizontal="right"/>
    </xf>
    <xf numFmtId="10" fontId="0" fillId="0" borderId="0" xfId="0" applyNumberFormat="1" applyFont="1" applyAlignment="1">
      <alignment horizontal="center"/>
    </xf>
    <xf numFmtId="10" fontId="0" fillId="0" borderId="0" xfId="0" applyNumberFormat="1" applyFont="1" applyAlignment="1">
      <alignment horizontal="right"/>
    </xf>
    <xf numFmtId="10" fontId="0" fillId="0" borderId="0" xfId="0" applyNumberFormat="1" applyFont="1" applyAlignment="1">
      <alignment/>
    </xf>
    <xf numFmtId="6" fontId="0" fillId="0" borderId="0" xfId="61" applyNumberFormat="1" applyFont="1" applyAlignment="1">
      <alignment/>
      <protection/>
    </xf>
    <xf numFmtId="6" fontId="0" fillId="0" borderId="0" xfId="61" applyNumberFormat="1" applyFont="1" applyAlignment="1">
      <alignment wrapText="1"/>
      <protection/>
    </xf>
    <xf numFmtId="165" fontId="9" fillId="0" borderId="0" xfId="0" applyNumberFormat="1" applyFont="1" applyAlignment="1">
      <alignment horizontal="center"/>
    </xf>
    <xf numFmtId="6" fontId="9" fillId="0" borderId="11" xfId="0" applyNumberFormat="1" applyFont="1" applyBorder="1" applyAlignment="1">
      <alignment/>
    </xf>
    <xf numFmtId="38" fontId="9" fillId="0" borderId="11" xfId="0" applyNumberFormat="1" applyFont="1" applyBorder="1" applyAlignment="1">
      <alignment/>
    </xf>
    <xf numFmtId="38" fontId="9" fillId="0" borderId="11" xfId="57" applyNumberFormat="1" applyFont="1" applyBorder="1" applyAlignment="1">
      <alignment/>
      <protection/>
    </xf>
    <xf numFmtId="0" fontId="0" fillId="0" borderId="0" xfId="57" applyAlignment="1">
      <alignment/>
      <protection/>
    </xf>
    <xf numFmtId="6" fontId="0" fillId="0" borderId="0" xfId="57" applyNumberFormat="1" applyAlignment="1">
      <alignment/>
      <protection/>
    </xf>
    <xf numFmtId="38" fontId="0" fillId="0" borderId="0" xfId="57" applyNumberFormat="1" applyAlignment="1">
      <alignment/>
      <protection/>
    </xf>
    <xf numFmtId="165" fontId="0" fillId="0" borderId="0" xfId="57" applyNumberFormat="1" applyAlignment="1">
      <alignment horizontal="center"/>
      <protection/>
    </xf>
    <xf numFmtId="165" fontId="0" fillId="0" borderId="0" xfId="57" applyNumberFormat="1" applyFont="1" applyAlignment="1">
      <alignment horizontal="left"/>
      <protection/>
    </xf>
    <xf numFmtId="165" fontId="0" fillId="0" borderId="0" xfId="57" applyNumberFormat="1" applyAlignment="1">
      <alignment horizontal="left"/>
      <protection/>
    </xf>
    <xf numFmtId="0" fontId="0" fillId="0" borderId="0" xfId="57" applyFont="1" applyAlignment="1">
      <alignment/>
      <protection/>
    </xf>
    <xf numFmtId="9" fontId="0" fillId="0" borderId="0" xfId="57" applyNumberFormat="1" applyFont="1" applyAlignment="1">
      <alignment horizontal="center"/>
      <protection/>
    </xf>
    <xf numFmtId="6" fontId="0" fillId="0" borderId="0" xfId="57" applyNumberFormat="1" applyFont="1" applyAlignment="1">
      <alignment/>
      <protection/>
    </xf>
    <xf numFmtId="38" fontId="0" fillId="0" borderId="0" xfId="57" applyNumberFormat="1" applyFont="1" applyAlignment="1">
      <alignment/>
      <protection/>
    </xf>
    <xf numFmtId="0" fontId="0" fillId="0" borderId="0" xfId="57" applyFont="1" applyAlignment="1">
      <alignment horizontal="left" vertical="top"/>
      <protection/>
    </xf>
    <xf numFmtId="10" fontId="0" fillId="0" borderId="0" xfId="57" applyNumberFormat="1" applyFont="1" applyAlignment="1">
      <alignment horizontal="center"/>
      <protection/>
    </xf>
    <xf numFmtId="10" fontId="0" fillId="0" borderId="0" xfId="57" applyNumberFormat="1" applyFont="1" applyAlignment="1">
      <alignment/>
      <protection/>
    </xf>
    <xf numFmtId="10" fontId="0" fillId="0" borderId="0" xfId="57" applyNumberFormat="1" applyFont="1" applyAlignment="1">
      <alignment horizontal="right"/>
      <protection/>
    </xf>
    <xf numFmtId="6" fontId="10" fillId="0" borderId="10" xfId="57" applyNumberFormat="1" applyFont="1" applyBorder="1" applyAlignment="1">
      <alignment horizontal="center"/>
      <protection/>
    </xf>
    <xf numFmtId="6" fontId="9" fillId="0" borderId="10" xfId="57" applyNumberFormat="1" applyFont="1" applyBorder="1" applyAlignment="1">
      <alignment/>
      <protection/>
    </xf>
    <xf numFmtId="6" fontId="10" fillId="0" borderId="10" xfId="57" applyNumberFormat="1" applyFont="1" applyBorder="1" applyAlignment="1">
      <alignment horizontal="right"/>
      <protection/>
    </xf>
    <xf numFmtId="0" fontId="11" fillId="0" borderId="0" xfId="57" applyFont="1" applyAlignment="1">
      <alignment/>
      <protection/>
    </xf>
    <xf numFmtId="6" fontId="10" fillId="0" borderId="0" xfId="57" applyNumberFormat="1" applyFont="1" applyAlignment="1">
      <alignment horizontal="center"/>
      <protection/>
    </xf>
    <xf numFmtId="0" fontId="12" fillId="0" borderId="0" xfId="57" applyFont="1" applyAlignment="1">
      <alignment/>
      <protection/>
    </xf>
    <xf numFmtId="6" fontId="11" fillId="0" borderId="0" xfId="57" applyNumberFormat="1" applyFont="1" applyAlignment="1">
      <alignment/>
      <protection/>
    </xf>
    <xf numFmtId="38" fontId="11" fillId="0" borderId="0" xfId="57" applyNumberFormat="1" applyFont="1" applyAlignment="1">
      <alignment/>
      <protection/>
    </xf>
    <xf numFmtId="165" fontId="11" fillId="0" borderId="0" xfId="57" applyNumberFormat="1" applyFont="1" applyAlignment="1">
      <alignment horizontal="left"/>
      <protection/>
    </xf>
    <xf numFmtId="165" fontId="9" fillId="0" borderId="0" xfId="57" applyNumberFormat="1" applyFont="1" applyAlignment="1">
      <alignment horizontal="left"/>
      <protection/>
    </xf>
    <xf numFmtId="6" fontId="0" fillId="0" borderId="0" xfId="57" applyNumberFormat="1" applyFont="1" applyAlignment="1">
      <alignment wrapText="1"/>
      <protection/>
    </xf>
    <xf numFmtId="171" fontId="0" fillId="0" borderId="0" xfId="57" applyNumberFormat="1" applyAlignment="1">
      <alignment/>
      <protection/>
    </xf>
    <xf numFmtId="171" fontId="0" fillId="0" borderId="0" xfId="57" applyNumberFormat="1" applyBorder="1" applyAlignment="1">
      <alignment/>
      <protection/>
    </xf>
    <xf numFmtId="171" fontId="0" fillId="0" borderId="0" xfId="57" applyNumberFormat="1" applyAlignment="1">
      <alignment horizontal="center"/>
      <protection/>
    </xf>
    <xf numFmtId="6" fontId="0" fillId="0" borderId="0" xfId="57" applyNumberFormat="1" applyBorder="1" applyAlignment="1">
      <alignment/>
      <protection/>
    </xf>
    <xf numFmtId="6" fontId="9" fillId="0" borderId="11" xfId="57" applyNumberFormat="1" applyFont="1" applyBorder="1" applyAlignment="1">
      <alignment/>
      <protection/>
    </xf>
    <xf numFmtId="6" fontId="9" fillId="0" borderId="0" xfId="57" applyNumberFormat="1" applyFont="1" applyAlignment="1">
      <alignment/>
      <protection/>
    </xf>
    <xf numFmtId="165" fontId="9" fillId="0" borderId="0" xfId="57" applyNumberFormat="1" applyFont="1" applyAlignment="1">
      <alignment horizontal="center"/>
      <protection/>
    </xf>
    <xf numFmtId="0" fontId="10" fillId="0" borderId="0" xfId="57" applyFont="1" applyAlignment="1">
      <alignment horizontal="center"/>
      <protection/>
    </xf>
    <xf numFmtId="6" fontId="10" fillId="0" borderId="0" xfId="57" applyNumberFormat="1" applyFont="1" applyBorder="1" applyAlignment="1">
      <alignment horizontal="center"/>
      <protection/>
    </xf>
    <xf numFmtId="38" fontId="10" fillId="0" borderId="10" xfId="57" applyNumberFormat="1" applyFont="1" applyBorder="1" applyAlignment="1">
      <alignment horizontal="center"/>
      <protection/>
    </xf>
    <xf numFmtId="165" fontId="10" fillId="0" borderId="10" xfId="57" applyNumberFormat="1" applyFont="1" applyBorder="1" applyAlignment="1">
      <alignment horizontal="center"/>
      <protection/>
    </xf>
    <xf numFmtId="38" fontId="10" fillId="0" borderId="0" xfId="57" applyNumberFormat="1" applyFont="1" applyAlignment="1">
      <alignment horizontal="center"/>
      <protection/>
    </xf>
    <xf numFmtId="165" fontId="10" fillId="0" borderId="0" xfId="57" applyNumberFormat="1" applyFont="1" applyAlignment="1">
      <alignment horizontal="center"/>
      <protection/>
    </xf>
    <xf numFmtId="0" fontId="0" fillId="0" borderId="0" xfId="57" applyAlignment="1">
      <alignment horizontal="center"/>
      <protection/>
    </xf>
    <xf numFmtId="6" fontId="0" fillId="0" borderId="0" xfId="57" applyNumberFormat="1" applyAlignment="1">
      <alignment horizontal="center"/>
      <protection/>
    </xf>
    <xf numFmtId="38" fontId="0" fillId="0" borderId="0" xfId="57" applyNumberFormat="1" applyAlignment="1">
      <alignment horizontal="center"/>
      <protection/>
    </xf>
    <xf numFmtId="6" fontId="0" fillId="0" borderId="0" xfId="57" applyNumberFormat="1" applyAlignment="1">
      <alignment horizontal="left"/>
      <protection/>
    </xf>
    <xf numFmtId="0" fontId="0" fillId="0" borderId="0" xfId="57" applyFont="1" applyAlignment="1">
      <alignment horizontal="center"/>
      <protection/>
    </xf>
    <xf numFmtId="6" fontId="8" fillId="0" borderId="0" xfId="57" applyNumberFormat="1" applyFont="1" applyAlignment="1">
      <alignment horizontal="center"/>
      <protection/>
    </xf>
    <xf numFmtId="6" fontId="50" fillId="0" borderId="0" xfId="57" applyNumberFormat="1" applyFont="1" applyAlignment="1">
      <alignment/>
      <protection/>
    </xf>
    <xf numFmtId="0" fontId="0" fillId="0" borderId="0" xfId="0" applyNumberFormat="1" applyAlignment="1">
      <alignment/>
    </xf>
    <xf numFmtId="5" fontId="9" fillId="0" borderId="11" xfId="0" applyNumberFormat="1" applyFont="1" applyBorder="1" applyAlignment="1">
      <alignment/>
    </xf>
    <xf numFmtId="6" fontId="1" fillId="0" borderId="0" xfId="61" applyNumberFormat="1" applyFont="1">
      <alignment vertical="top"/>
      <protection/>
    </xf>
    <xf numFmtId="9" fontId="0" fillId="0" borderId="0" xfId="60" applyFont="1" applyAlignment="1">
      <alignment/>
    </xf>
    <xf numFmtId="165" fontId="0" fillId="0" borderId="0" xfId="57" applyNumberFormat="1" applyFont="1" applyAlignment="1">
      <alignment horizontal="left" vertical="center"/>
      <protection/>
    </xf>
    <xf numFmtId="6" fontId="0" fillId="0" borderId="0" xfId="57" applyNumberFormat="1" applyAlignment="1">
      <alignment vertical="center"/>
      <protection/>
    </xf>
    <xf numFmtId="38" fontId="0" fillId="0" borderId="0" xfId="57" applyNumberFormat="1" applyAlignment="1">
      <alignment vertical="center"/>
      <protection/>
    </xf>
    <xf numFmtId="6" fontId="10" fillId="0" borderId="10" xfId="57" applyNumberFormat="1" applyFont="1" applyBorder="1" applyAlignment="1">
      <alignment horizontal="center"/>
      <protection/>
    </xf>
    <xf numFmtId="165" fontId="9" fillId="33" borderId="12" xfId="57" applyNumberFormat="1" applyFont="1" applyFill="1" applyBorder="1" applyAlignment="1">
      <alignment horizontal="center"/>
      <protection/>
    </xf>
    <xf numFmtId="165" fontId="9" fillId="33" borderId="13" xfId="57" applyNumberFormat="1" applyFont="1" applyFill="1" applyBorder="1" applyAlignment="1">
      <alignment horizontal="center"/>
      <protection/>
    </xf>
    <xf numFmtId="6" fontId="9" fillId="33" borderId="12" xfId="57" applyNumberFormat="1" applyFont="1" applyFill="1" applyBorder="1" applyAlignment="1">
      <alignment horizontal="center"/>
      <protection/>
    </xf>
    <xf numFmtId="6" fontId="9" fillId="33" borderId="13" xfId="57" applyNumberFormat="1" applyFont="1" applyFill="1" applyBorder="1" applyAlignment="1">
      <alignment horizontal="center"/>
      <protection/>
    </xf>
    <xf numFmtId="0" fontId="0" fillId="0" borderId="0" xfId="61" applyNumberFormat="1" applyFont="1" applyAlignment="1">
      <alignment horizontal="left" wrapText="1"/>
      <protection/>
    </xf>
    <xf numFmtId="0" fontId="0" fillId="0" borderId="0" xfId="61" applyNumberFormat="1" applyFont="1" applyAlignment="1">
      <alignment horizontal="left" wrapText="1"/>
      <protection/>
    </xf>
    <xf numFmtId="6" fontId="5" fillId="0" borderId="0" xfId="57" applyNumberFormat="1" applyFont="1" applyAlignment="1">
      <alignment horizontal="center"/>
      <protection/>
    </xf>
    <xf numFmtId="6" fontId="6" fillId="0" borderId="0" xfId="57" applyNumberFormat="1" applyFont="1" applyAlignment="1">
      <alignment horizontal="center"/>
      <protection/>
    </xf>
    <xf numFmtId="6" fontId="7" fillId="0" borderId="0" xfId="53" applyNumberFormat="1" applyFont="1" applyAlignment="1" applyProtection="1">
      <alignment horizontal="center"/>
      <protection/>
    </xf>
    <xf numFmtId="6" fontId="8" fillId="0" borderId="0" xfId="57" applyNumberFormat="1" applyFont="1" applyAlignment="1">
      <alignment horizontal="center"/>
      <protection/>
    </xf>
    <xf numFmtId="165" fontId="9" fillId="33" borderId="14" xfId="57" applyNumberFormat="1" applyFont="1" applyFill="1" applyBorder="1" applyAlignment="1">
      <alignment horizontal="center"/>
      <protection/>
    </xf>
    <xf numFmtId="6" fontId="9" fillId="33" borderId="14" xfId="57" applyNumberFormat="1" applyFont="1" applyFill="1" applyBorder="1" applyAlignment="1">
      <alignment horizontal="center"/>
      <protection/>
    </xf>
    <xf numFmtId="6" fontId="10" fillId="0" borderId="10" xfId="0" applyNumberFormat="1" applyFont="1" applyBorder="1" applyAlignment="1">
      <alignment horizontal="center"/>
    </xf>
    <xf numFmtId="165" fontId="9" fillId="33" borderId="12" xfId="0" applyNumberFormat="1" applyFont="1" applyFill="1" applyBorder="1" applyAlignment="1">
      <alignment horizontal="center"/>
    </xf>
    <xf numFmtId="165" fontId="9" fillId="33" borderId="13" xfId="0" applyNumberFormat="1" applyFont="1" applyFill="1" applyBorder="1" applyAlignment="1">
      <alignment horizontal="center"/>
    </xf>
    <xf numFmtId="165" fontId="9" fillId="33" borderId="14" xfId="0" applyNumberFormat="1" applyFont="1" applyFill="1" applyBorder="1" applyAlignment="1">
      <alignment horizontal="center"/>
    </xf>
    <xf numFmtId="6" fontId="9" fillId="33" borderId="12" xfId="0" applyNumberFormat="1" applyFont="1" applyFill="1" applyBorder="1" applyAlignment="1">
      <alignment horizontal="center"/>
    </xf>
    <xf numFmtId="6" fontId="9" fillId="33" borderId="13" xfId="0" applyNumberFormat="1" applyFont="1" applyFill="1" applyBorder="1" applyAlignment="1">
      <alignment horizontal="center"/>
    </xf>
    <xf numFmtId="6" fontId="9" fillId="33" borderId="14" xfId="0" applyNumberFormat="1" applyFont="1" applyFill="1" applyBorder="1" applyAlignment="1">
      <alignment horizontal="center"/>
    </xf>
    <xf numFmtId="0" fontId="0" fillId="0" borderId="0" xfId="61" applyNumberFormat="1" applyFont="1" applyAlignment="1">
      <alignment horizontal="left" wrapText="1"/>
      <protection/>
    </xf>
    <xf numFmtId="6" fontId="5" fillId="0" borderId="0" xfId="0" applyNumberFormat="1" applyFont="1" applyAlignment="1">
      <alignment horizontal="center"/>
    </xf>
    <xf numFmtId="6" fontId="6" fillId="0" borderId="0" xfId="0" applyNumberFormat="1" applyFont="1" applyAlignment="1">
      <alignment horizontal="center"/>
    </xf>
    <xf numFmtId="6" fontId="8" fillId="0" borderId="0" xfId="0" applyNumberFormat="1"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Style 1"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114300</xdr:rowOff>
    </xdr:from>
    <xdr:to>
      <xdr:col>2</xdr:col>
      <xdr:colOff>28575</xdr:colOff>
      <xdr:row>6</xdr:row>
      <xdr:rowOff>19050</xdr:rowOff>
    </xdr:to>
    <xdr:pic>
      <xdr:nvPicPr>
        <xdr:cNvPr id="1" name="Picture 2"/>
        <xdr:cNvPicPr preferRelativeResize="1">
          <a:picLocks noChangeAspect="1"/>
        </xdr:cNvPicPr>
      </xdr:nvPicPr>
      <xdr:blipFill>
        <a:blip r:embed="rId1"/>
        <a:stretch>
          <a:fillRect/>
        </a:stretch>
      </xdr:blipFill>
      <xdr:spPr>
        <a:xfrm>
          <a:off x="371475" y="114300"/>
          <a:ext cx="1343025" cy="10572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114300</xdr:rowOff>
    </xdr:from>
    <xdr:to>
      <xdr:col>2</xdr:col>
      <xdr:colOff>219075</xdr:colOff>
      <xdr:row>6</xdr:row>
      <xdr:rowOff>9525</xdr:rowOff>
    </xdr:to>
    <xdr:pic>
      <xdr:nvPicPr>
        <xdr:cNvPr id="1" name="Picture 2"/>
        <xdr:cNvPicPr preferRelativeResize="1">
          <a:picLocks noChangeAspect="1"/>
        </xdr:cNvPicPr>
      </xdr:nvPicPr>
      <xdr:blipFill>
        <a:blip r:embed="rId1"/>
        <a:stretch>
          <a:fillRect/>
        </a:stretch>
      </xdr:blipFill>
      <xdr:spPr>
        <a:xfrm>
          <a:off x="371475" y="114300"/>
          <a:ext cx="1343025" cy="1047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114300</xdr:rowOff>
    </xdr:from>
    <xdr:to>
      <xdr:col>2</xdr:col>
      <xdr:colOff>219075</xdr:colOff>
      <xdr:row>6</xdr:row>
      <xdr:rowOff>9525</xdr:rowOff>
    </xdr:to>
    <xdr:pic>
      <xdr:nvPicPr>
        <xdr:cNvPr id="1" name="Picture 2"/>
        <xdr:cNvPicPr preferRelativeResize="1">
          <a:picLocks noChangeAspect="1"/>
        </xdr:cNvPicPr>
      </xdr:nvPicPr>
      <xdr:blipFill>
        <a:blip r:embed="rId1"/>
        <a:stretch>
          <a:fillRect/>
        </a:stretch>
      </xdr:blipFill>
      <xdr:spPr>
        <a:xfrm>
          <a:off x="371475" y="114300"/>
          <a:ext cx="1343025" cy="10477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28575</xdr:rowOff>
    </xdr:from>
    <xdr:to>
      <xdr:col>2</xdr:col>
      <xdr:colOff>400050</xdr:colOff>
      <xdr:row>5</xdr:row>
      <xdr:rowOff>114300</xdr:rowOff>
    </xdr:to>
    <xdr:pic>
      <xdr:nvPicPr>
        <xdr:cNvPr id="1" name="Picture 1" descr="BataviaDownsLogo"/>
        <xdr:cNvPicPr preferRelativeResize="1">
          <a:picLocks noChangeAspect="1"/>
        </xdr:cNvPicPr>
      </xdr:nvPicPr>
      <xdr:blipFill>
        <a:blip r:embed="rId1"/>
        <a:stretch>
          <a:fillRect/>
        </a:stretch>
      </xdr:blipFill>
      <xdr:spPr>
        <a:xfrm>
          <a:off x="628650" y="28575"/>
          <a:ext cx="1266825" cy="10572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28575</xdr:rowOff>
    </xdr:from>
    <xdr:to>
      <xdr:col>2</xdr:col>
      <xdr:colOff>400050</xdr:colOff>
      <xdr:row>5</xdr:row>
      <xdr:rowOff>114300</xdr:rowOff>
    </xdr:to>
    <xdr:pic>
      <xdr:nvPicPr>
        <xdr:cNvPr id="1" name="Picture 1" descr="BataviaDownsLogo"/>
        <xdr:cNvPicPr preferRelativeResize="1">
          <a:picLocks noChangeAspect="1"/>
        </xdr:cNvPicPr>
      </xdr:nvPicPr>
      <xdr:blipFill>
        <a:blip r:embed="rId1"/>
        <a:stretch>
          <a:fillRect/>
        </a:stretch>
      </xdr:blipFill>
      <xdr:spPr>
        <a:xfrm>
          <a:off x="628650" y="28575"/>
          <a:ext cx="1266825" cy="10572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38100</xdr:rowOff>
    </xdr:from>
    <xdr:to>
      <xdr:col>2</xdr:col>
      <xdr:colOff>142875</xdr:colOff>
      <xdr:row>5</xdr:row>
      <xdr:rowOff>123825</xdr:rowOff>
    </xdr:to>
    <xdr:pic>
      <xdr:nvPicPr>
        <xdr:cNvPr id="1" name="Picture 1" descr="BataviaDownsLogo"/>
        <xdr:cNvPicPr preferRelativeResize="1">
          <a:picLocks noChangeAspect="1"/>
        </xdr:cNvPicPr>
      </xdr:nvPicPr>
      <xdr:blipFill>
        <a:blip r:embed="rId1"/>
        <a:stretch>
          <a:fillRect/>
        </a:stretch>
      </xdr:blipFill>
      <xdr:spPr>
        <a:xfrm>
          <a:off x="361950" y="38100"/>
          <a:ext cx="1276350" cy="10572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28575</xdr:rowOff>
    </xdr:from>
    <xdr:to>
      <xdr:col>2</xdr:col>
      <xdr:colOff>200025</xdr:colOff>
      <xdr:row>5</xdr:row>
      <xdr:rowOff>114300</xdr:rowOff>
    </xdr:to>
    <xdr:pic>
      <xdr:nvPicPr>
        <xdr:cNvPr id="1" name="Picture 1" descr="BataviaDownsLogo"/>
        <xdr:cNvPicPr preferRelativeResize="1">
          <a:picLocks noChangeAspect="1"/>
        </xdr:cNvPicPr>
      </xdr:nvPicPr>
      <xdr:blipFill>
        <a:blip r:embed="rId1"/>
        <a:stretch>
          <a:fillRect/>
        </a:stretch>
      </xdr:blipFill>
      <xdr:spPr>
        <a:xfrm>
          <a:off x="419100" y="28575"/>
          <a:ext cx="1276350" cy="10572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2</xdr:col>
      <xdr:colOff>152400</xdr:colOff>
      <xdr:row>5</xdr:row>
      <xdr:rowOff>142875</xdr:rowOff>
    </xdr:to>
    <xdr:pic>
      <xdr:nvPicPr>
        <xdr:cNvPr id="1" name="Picture 2" descr="BataviaDownsLogo"/>
        <xdr:cNvPicPr preferRelativeResize="1">
          <a:picLocks noChangeAspect="1"/>
        </xdr:cNvPicPr>
      </xdr:nvPicPr>
      <xdr:blipFill>
        <a:blip r:embed="rId1"/>
        <a:stretch>
          <a:fillRect/>
        </a:stretch>
      </xdr:blipFill>
      <xdr:spPr>
        <a:xfrm>
          <a:off x="438150" y="57150"/>
          <a:ext cx="1276350" cy="10572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76200</xdr:rowOff>
    </xdr:from>
    <xdr:to>
      <xdr:col>1</xdr:col>
      <xdr:colOff>885825</xdr:colOff>
      <xdr:row>5</xdr:row>
      <xdr:rowOff>161925</xdr:rowOff>
    </xdr:to>
    <xdr:pic>
      <xdr:nvPicPr>
        <xdr:cNvPr id="1" name="Picture 2" descr="BataviaDownsLogo"/>
        <xdr:cNvPicPr preferRelativeResize="1">
          <a:picLocks noChangeAspect="1"/>
        </xdr:cNvPicPr>
      </xdr:nvPicPr>
      <xdr:blipFill>
        <a:blip r:embed="rId1"/>
        <a:stretch>
          <a:fillRect/>
        </a:stretch>
      </xdr:blipFill>
      <xdr:spPr>
        <a:xfrm>
          <a:off x="228600" y="76200"/>
          <a:ext cx="1276350" cy="10572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66675</xdr:rowOff>
    </xdr:from>
    <xdr:to>
      <xdr:col>2</xdr:col>
      <xdr:colOff>142875</xdr:colOff>
      <xdr:row>5</xdr:row>
      <xdr:rowOff>152400</xdr:rowOff>
    </xdr:to>
    <xdr:pic>
      <xdr:nvPicPr>
        <xdr:cNvPr id="1" name="Picture 2" descr="BataviaDownsLogo"/>
        <xdr:cNvPicPr preferRelativeResize="1">
          <a:picLocks noChangeAspect="1"/>
        </xdr:cNvPicPr>
      </xdr:nvPicPr>
      <xdr:blipFill>
        <a:blip r:embed="rId1"/>
        <a:stretch>
          <a:fillRect/>
        </a:stretch>
      </xdr:blipFill>
      <xdr:spPr>
        <a:xfrm>
          <a:off x="419100" y="66675"/>
          <a:ext cx="1285875" cy="10572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66675</xdr:rowOff>
    </xdr:from>
    <xdr:to>
      <xdr:col>2</xdr:col>
      <xdr:colOff>66675</xdr:colOff>
      <xdr:row>5</xdr:row>
      <xdr:rowOff>152400</xdr:rowOff>
    </xdr:to>
    <xdr:pic>
      <xdr:nvPicPr>
        <xdr:cNvPr id="1" name="Picture 2" descr="BataviaDownsLogo"/>
        <xdr:cNvPicPr preferRelativeResize="1">
          <a:picLocks noChangeAspect="1"/>
        </xdr:cNvPicPr>
      </xdr:nvPicPr>
      <xdr:blipFill>
        <a:blip r:embed="rId1"/>
        <a:stretch>
          <a:fillRect/>
        </a:stretch>
      </xdr:blipFill>
      <xdr:spPr>
        <a:xfrm>
          <a:off x="352425" y="66675"/>
          <a:ext cx="1276350"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114300</xdr:rowOff>
    </xdr:from>
    <xdr:to>
      <xdr:col>2</xdr:col>
      <xdr:colOff>28575</xdr:colOff>
      <xdr:row>6</xdr:row>
      <xdr:rowOff>19050</xdr:rowOff>
    </xdr:to>
    <xdr:pic>
      <xdr:nvPicPr>
        <xdr:cNvPr id="1" name="Picture 2"/>
        <xdr:cNvPicPr preferRelativeResize="1">
          <a:picLocks noChangeAspect="1"/>
        </xdr:cNvPicPr>
      </xdr:nvPicPr>
      <xdr:blipFill>
        <a:blip r:embed="rId1"/>
        <a:stretch>
          <a:fillRect/>
        </a:stretch>
      </xdr:blipFill>
      <xdr:spPr>
        <a:xfrm>
          <a:off x="371475" y="114300"/>
          <a:ext cx="1343025" cy="1057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114300</xdr:rowOff>
    </xdr:from>
    <xdr:to>
      <xdr:col>2</xdr:col>
      <xdr:colOff>28575</xdr:colOff>
      <xdr:row>6</xdr:row>
      <xdr:rowOff>19050</xdr:rowOff>
    </xdr:to>
    <xdr:pic>
      <xdr:nvPicPr>
        <xdr:cNvPr id="1" name="Picture 2"/>
        <xdr:cNvPicPr preferRelativeResize="1">
          <a:picLocks noChangeAspect="1"/>
        </xdr:cNvPicPr>
      </xdr:nvPicPr>
      <xdr:blipFill>
        <a:blip r:embed="rId1"/>
        <a:stretch>
          <a:fillRect/>
        </a:stretch>
      </xdr:blipFill>
      <xdr:spPr>
        <a:xfrm>
          <a:off x="371475" y="114300"/>
          <a:ext cx="1343025" cy="1057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114300</xdr:rowOff>
    </xdr:from>
    <xdr:to>
      <xdr:col>2</xdr:col>
      <xdr:colOff>28575</xdr:colOff>
      <xdr:row>6</xdr:row>
      <xdr:rowOff>19050</xdr:rowOff>
    </xdr:to>
    <xdr:pic>
      <xdr:nvPicPr>
        <xdr:cNvPr id="1" name="Picture 2"/>
        <xdr:cNvPicPr preferRelativeResize="1">
          <a:picLocks noChangeAspect="1"/>
        </xdr:cNvPicPr>
      </xdr:nvPicPr>
      <xdr:blipFill>
        <a:blip r:embed="rId1"/>
        <a:stretch>
          <a:fillRect/>
        </a:stretch>
      </xdr:blipFill>
      <xdr:spPr>
        <a:xfrm>
          <a:off x="371475" y="114300"/>
          <a:ext cx="1343025" cy="1057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114300</xdr:rowOff>
    </xdr:from>
    <xdr:to>
      <xdr:col>2</xdr:col>
      <xdr:colOff>28575</xdr:colOff>
      <xdr:row>6</xdr:row>
      <xdr:rowOff>9525</xdr:rowOff>
    </xdr:to>
    <xdr:pic>
      <xdr:nvPicPr>
        <xdr:cNvPr id="1" name="Picture 2"/>
        <xdr:cNvPicPr preferRelativeResize="1">
          <a:picLocks noChangeAspect="1"/>
        </xdr:cNvPicPr>
      </xdr:nvPicPr>
      <xdr:blipFill>
        <a:blip r:embed="rId1"/>
        <a:stretch>
          <a:fillRect/>
        </a:stretch>
      </xdr:blipFill>
      <xdr:spPr>
        <a:xfrm>
          <a:off x="371475" y="114300"/>
          <a:ext cx="1343025" cy="1047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114300</xdr:rowOff>
    </xdr:from>
    <xdr:to>
      <xdr:col>2</xdr:col>
      <xdr:colOff>28575</xdr:colOff>
      <xdr:row>6</xdr:row>
      <xdr:rowOff>9525</xdr:rowOff>
    </xdr:to>
    <xdr:pic>
      <xdr:nvPicPr>
        <xdr:cNvPr id="1" name="Picture 2"/>
        <xdr:cNvPicPr preferRelativeResize="1">
          <a:picLocks noChangeAspect="1"/>
        </xdr:cNvPicPr>
      </xdr:nvPicPr>
      <xdr:blipFill>
        <a:blip r:embed="rId1"/>
        <a:stretch>
          <a:fillRect/>
        </a:stretch>
      </xdr:blipFill>
      <xdr:spPr>
        <a:xfrm>
          <a:off x="371475" y="114300"/>
          <a:ext cx="1343025" cy="1047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114300</xdr:rowOff>
    </xdr:from>
    <xdr:to>
      <xdr:col>2</xdr:col>
      <xdr:colOff>28575</xdr:colOff>
      <xdr:row>6</xdr:row>
      <xdr:rowOff>9525</xdr:rowOff>
    </xdr:to>
    <xdr:pic>
      <xdr:nvPicPr>
        <xdr:cNvPr id="1" name="Picture 2"/>
        <xdr:cNvPicPr preferRelativeResize="1">
          <a:picLocks noChangeAspect="1"/>
        </xdr:cNvPicPr>
      </xdr:nvPicPr>
      <xdr:blipFill>
        <a:blip r:embed="rId1"/>
        <a:stretch>
          <a:fillRect/>
        </a:stretch>
      </xdr:blipFill>
      <xdr:spPr>
        <a:xfrm>
          <a:off x="371475" y="114300"/>
          <a:ext cx="1343025" cy="1047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114300</xdr:rowOff>
    </xdr:from>
    <xdr:to>
      <xdr:col>2</xdr:col>
      <xdr:colOff>28575</xdr:colOff>
      <xdr:row>6</xdr:row>
      <xdr:rowOff>9525</xdr:rowOff>
    </xdr:to>
    <xdr:pic>
      <xdr:nvPicPr>
        <xdr:cNvPr id="1" name="Picture 2"/>
        <xdr:cNvPicPr preferRelativeResize="1">
          <a:picLocks noChangeAspect="1"/>
        </xdr:cNvPicPr>
      </xdr:nvPicPr>
      <xdr:blipFill>
        <a:blip r:embed="rId1"/>
        <a:stretch>
          <a:fillRect/>
        </a:stretch>
      </xdr:blipFill>
      <xdr:spPr>
        <a:xfrm>
          <a:off x="371475" y="114300"/>
          <a:ext cx="1343025" cy="1047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114300</xdr:rowOff>
    </xdr:from>
    <xdr:to>
      <xdr:col>2</xdr:col>
      <xdr:colOff>219075</xdr:colOff>
      <xdr:row>6</xdr:row>
      <xdr:rowOff>9525</xdr:rowOff>
    </xdr:to>
    <xdr:pic>
      <xdr:nvPicPr>
        <xdr:cNvPr id="1" name="Picture 2"/>
        <xdr:cNvPicPr preferRelativeResize="1">
          <a:picLocks noChangeAspect="1"/>
        </xdr:cNvPicPr>
      </xdr:nvPicPr>
      <xdr:blipFill>
        <a:blip r:embed="rId1"/>
        <a:stretch>
          <a:fillRect/>
        </a:stretch>
      </xdr:blipFill>
      <xdr:spPr>
        <a:xfrm>
          <a:off x="371475" y="114300"/>
          <a:ext cx="13430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atavia-down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batavia-downs.com/"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batavia-downs.com/"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batavia-downs.com/"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batavia-downs.com/"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batavia-downs.com/"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batavia-downs.com/" TargetMode="Externa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batavia-downs.com/" TargetMode="Externa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batavia-downs.com/" TargetMode="Externa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batavia-downs.com/" TargetMode="External" /><Relationship Id="rId2" Type="http://schemas.openxmlformats.org/officeDocument/2006/relationships/drawing" Target="../drawings/drawing18.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batavia-downs.com/" TargetMode="External" /><Relationship Id="rId2" Type="http://schemas.openxmlformats.org/officeDocument/2006/relationships/drawing" Target="../drawings/drawing1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atavia-downs.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atavia-downs.com/"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atavia-downs.com/"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atavia-downs.com/"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atavia-downs.com/"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atavia-downs.com/"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atavia-downs.com/"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atavia-downs.com/"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70"/>
  <sheetViews>
    <sheetView tabSelected="1" zoomScalePageLayoutView="0" workbookViewId="0" topLeftCell="A3">
      <selection activeCell="J24" sqref="J24"/>
    </sheetView>
  </sheetViews>
  <sheetFormatPr defaultColWidth="9.140625" defaultRowHeight="12.75"/>
  <cols>
    <col min="1" max="1" width="9.28125" style="66" customWidth="1"/>
    <col min="2" max="2" width="16.00390625" style="64" customWidth="1"/>
    <col min="3" max="3" width="13.140625" style="64" customWidth="1"/>
    <col min="4" max="4" width="14.421875" style="64" bestFit="1" customWidth="1"/>
    <col min="5" max="5" width="12.7109375" style="64" customWidth="1"/>
    <col min="6" max="6" width="10.57421875" style="65" customWidth="1"/>
    <col min="7" max="7" width="10.57421875" style="64" customWidth="1"/>
    <col min="8" max="8" width="2.421875" style="64" customWidth="1"/>
    <col min="9" max="9" width="12.421875" style="64" customWidth="1"/>
    <col min="10" max="10" width="12.8515625" style="64" customWidth="1"/>
    <col min="11" max="11" width="13.7109375" style="64" customWidth="1"/>
    <col min="12" max="12" width="12.7109375" style="63" customWidth="1"/>
    <col min="13" max="16384" width="9.140625" style="63" customWidth="1"/>
  </cols>
  <sheetData>
    <row r="1" spans="1:11" ht="18">
      <c r="A1" s="122" t="s">
        <v>100</v>
      </c>
      <c r="B1" s="122"/>
      <c r="C1" s="122"/>
      <c r="D1" s="122"/>
      <c r="E1" s="122"/>
      <c r="F1" s="122"/>
      <c r="G1" s="122"/>
      <c r="H1" s="122"/>
      <c r="I1" s="122"/>
      <c r="J1" s="122"/>
      <c r="K1" s="122"/>
    </row>
    <row r="2" spans="1:11" ht="15">
      <c r="A2" s="123" t="s">
        <v>0</v>
      </c>
      <c r="B2" s="123"/>
      <c r="C2" s="123"/>
      <c r="D2" s="123"/>
      <c r="E2" s="123"/>
      <c r="F2" s="123"/>
      <c r="G2" s="123"/>
      <c r="H2" s="123"/>
      <c r="I2" s="123"/>
      <c r="J2" s="123"/>
      <c r="K2" s="123"/>
    </row>
    <row r="3" spans="1:11" s="101" customFormat="1" ht="15">
      <c r="A3" s="123" t="s">
        <v>1</v>
      </c>
      <c r="B3" s="123"/>
      <c r="C3" s="123"/>
      <c r="D3" s="123"/>
      <c r="E3" s="123"/>
      <c r="F3" s="123"/>
      <c r="G3" s="123"/>
      <c r="H3" s="123"/>
      <c r="I3" s="123"/>
      <c r="J3" s="123"/>
      <c r="K3" s="123"/>
    </row>
    <row r="4" spans="1:11" s="101" customFormat="1" ht="14.25">
      <c r="A4" s="124" t="s">
        <v>2</v>
      </c>
      <c r="B4" s="124"/>
      <c r="C4" s="124"/>
      <c r="D4" s="124"/>
      <c r="E4" s="124"/>
      <c r="F4" s="124"/>
      <c r="G4" s="124"/>
      <c r="H4" s="124"/>
      <c r="I4" s="124"/>
      <c r="J4" s="124"/>
      <c r="K4" s="124"/>
    </row>
    <row r="5" spans="1:11" s="101" customFormat="1" ht="14.25">
      <c r="A5" s="125" t="s">
        <v>3</v>
      </c>
      <c r="B5" s="125"/>
      <c r="C5" s="125"/>
      <c r="D5" s="125"/>
      <c r="E5" s="125"/>
      <c r="F5" s="125"/>
      <c r="G5" s="125"/>
      <c r="H5" s="125"/>
      <c r="I5" s="125"/>
      <c r="J5" s="125"/>
      <c r="K5" s="125"/>
    </row>
    <row r="6" spans="1:11" s="101" customFormat="1" ht="14.25">
      <c r="A6" s="106"/>
      <c r="B6" s="106"/>
      <c r="C6" s="106"/>
      <c r="D6" s="106"/>
      <c r="E6" s="106"/>
      <c r="F6" s="106"/>
      <c r="G6" s="106"/>
      <c r="H6" s="106"/>
      <c r="I6" s="106"/>
      <c r="J6" s="106"/>
      <c r="K6" s="106"/>
    </row>
    <row r="7" spans="1:11" s="101" customFormat="1" ht="12.75">
      <c r="A7" s="66"/>
      <c r="B7" s="104"/>
      <c r="C7" s="104"/>
      <c r="D7" s="104"/>
      <c r="E7" s="102"/>
      <c r="F7" s="103"/>
      <c r="G7" s="102"/>
      <c r="H7" s="102"/>
      <c r="I7" s="102"/>
      <c r="J7" s="102"/>
      <c r="K7" s="102"/>
    </row>
    <row r="8" spans="1:11" s="105" customFormat="1" ht="14.25" customHeight="1">
      <c r="A8" s="116" t="s">
        <v>128</v>
      </c>
      <c r="B8" s="117"/>
      <c r="C8" s="117"/>
      <c r="D8" s="117"/>
      <c r="E8" s="117"/>
      <c r="F8" s="117"/>
      <c r="G8" s="117"/>
      <c r="H8" s="117"/>
      <c r="I8" s="117"/>
      <c r="J8" s="117"/>
      <c r="K8" s="117"/>
    </row>
    <row r="9" spans="1:11" s="101" customFormat="1" ht="9" customHeight="1">
      <c r="A9" s="66"/>
      <c r="B9" s="104"/>
      <c r="C9" s="104"/>
      <c r="D9" s="104"/>
      <c r="E9" s="102"/>
      <c r="F9" s="103"/>
      <c r="G9" s="102"/>
      <c r="H9" s="102"/>
      <c r="I9" s="102"/>
      <c r="J9" s="102"/>
      <c r="K9" s="102"/>
    </row>
    <row r="10" spans="1:11" s="101" customFormat="1" ht="12.75">
      <c r="A10" s="66"/>
      <c r="B10" s="102"/>
      <c r="C10" s="102"/>
      <c r="D10" s="102"/>
      <c r="E10" s="102"/>
      <c r="F10" s="103"/>
      <c r="G10" s="102"/>
      <c r="H10" s="102"/>
      <c r="I10" s="115" t="s">
        <v>5</v>
      </c>
      <c r="J10" s="115"/>
      <c r="K10" s="115"/>
    </row>
    <row r="11" spans="1:11" s="101" customFormat="1" ht="12.75">
      <c r="A11" s="66"/>
      <c r="B11" s="102"/>
      <c r="C11" s="102"/>
      <c r="D11" s="102"/>
      <c r="E11" s="102"/>
      <c r="F11" s="103"/>
      <c r="G11" s="102"/>
      <c r="H11" s="102"/>
      <c r="I11" s="102"/>
      <c r="J11" s="102"/>
      <c r="K11" s="102"/>
    </row>
    <row r="12" spans="1:11" s="95" customFormat="1" ht="12">
      <c r="A12" s="100"/>
      <c r="B12" s="81" t="s">
        <v>6</v>
      </c>
      <c r="C12" s="81" t="s">
        <v>72</v>
      </c>
      <c r="D12" s="81" t="s">
        <v>6</v>
      </c>
      <c r="E12" s="81"/>
      <c r="F12" s="99" t="s">
        <v>7</v>
      </c>
      <c r="G12" s="81" t="s">
        <v>8</v>
      </c>
      <c r="H12" s="81"/>
      <c r="I12" s="81" t="s">
        <v>9</v>
      </c>
      <c r="J12" s="81" t="s">
        <v>84</v>
      </c>
      <c r="K12" s="81" t="s">
        <v>83</v>
      </c>
    </row>
    <row r="13" spans="1:11" s="95" customFormat="1" ht="12">
      <c r="A13" s="98" t="s">
        <v>11</v>
      </c>
      <c r="B13" s="77" t="s">
        <v>12</v>
      </c>
      <c r="C13" s="77" t="s">
        <v>19</v>
      </c>
      <c r="D13" s="77" t="s">
        <v>13</v>
      </c>
      <c r="E13" s="77" t="s">
        <v>14</v>
      </c>
      <c r="F13" s="97" t="s">
        <v>15</v>
      </c>
      <c r="G13" s="77" t="s">
        <v>16</v>
      </c>
      <c r="H13" s="96"/>
      <c r="I13" s="77" t="s">
        <v>17</v>
      </c>
      <c r="J13" s="77" t="s">
        <v>85</v>
      </c>
      <c r="K13" s="77" t="s">
        <v>18</v>
      </c>
    </row>
    <row r="15" spans="1:12" ht="12.75">
      <c r="A15" s="66">
        <v>45017</v>
      </c>
      <c r="B15" s="64">
        <v>97588391</v>
      </c>
      <c r="C15" s="64">
        <v>981102.7899999999</v>
      </c>
      <c r="D15" s="64">
        <f aca="true" t="shared" si="0" ref="D15:D26">IF(ISBLANK(B15),"",B15-C15-E15)</f>
        <v>89512658.3</v>
      </c>
      <c r="E15" s="64">
        <v>7094629.910000001</v>
      </c>
      <c r="F15" s="65">
        <v>909</v>
      </c>
      <c r="G15" s="64">
        <f>_xlfn.IFERROR((E15/F15/30)," ")</f>
        <v>260.1624462779612</v>
      </c>
      <c r="H15" s="107"/>
      <c r="I15" s="64">
        <v>2766905.6648999997</v>
      </c>
      <c r="J15" s="64">
        <v>709463.02</v>
      </c>
      <c r="K15" s="64">
        <v>3618261.2541000005</v>
      </c>
      <c r="L15" s="65"/>
    </row>
    <row r="16" spans="1:12" ht="12.75">
      <c r="A16" s="66">
        <v>45047</v>
      </c>
      <c r="B16" s="64">
        <v>95294820.61</v>
      </c>
      <c r="C16" s="64">
        <v>1024251.4499999998</v>
      </c>
      <c r="D16" s="64">
        <f t="shared" si="0"/>
        <v>87275718.84</v>
      </c>
      <c r="E16" s="64">
        <v>6994850.32</v>
      </c>
      <c r="F16" s="65">
        <v>907</v>
      </c>
      <c r="G16" s="64">
        <f>_xlfn.IFERROR((E16/F16/31)," ")</f>
        <v>248.776552263755</v>
      </c>
      <c r="H16" s="107"/>
      <c r="I16" s="64">
        <v>2727991.6248000003</v>
      </c>
      <c r="J16" s="64">
        <v>699485.05</v>
      </c>
      <c r="K16" s="64">
        <v>3567373.6632</v>
      </c>
      <c r="L16" s="65"/>
    </row>
    <row r="17" spans="1:12" ht="12.75">
      <c r="A17" s="66">
        <v>45078</v>
      </c>
      <c r="B17" s="64">
        <v>97039424.87999998</v>
      </c>
      <c r="C17" s="64">
        <v>1121063.9000000001</v>
      </c>
      <c r="D17" s="64">
        <f>IF(ISBLANK(B17),"",B17-C17-E17)</f>
        <v>88855577.90999997</v>
      </c>
      <c r="E17" s="64">
        <v>7062783.070000002</v>
      </c>
      <c r="F17" s="65">
        <v>907</v>
      </c>
      <c r="G17" s="64">
        <f aca="true" t="shared" si="1" ref="G17:G22">_xlfn.IFERROR((E17/F17/30)," ")</f>
        <v>259.5657137081956</v>
      </c>
      <c r="H17" s="107"/>
      <c r="I17" s="64">
        <v>2754485.397300001</v>
      </c>
      <c r="J17" s="64">
        <v>706278.3300000001</v>
      </c>
      <c r="K17" s="64">
        <v>3602019.365700002</v>
      </c>
      <c r="L17" s="65"/>
    </row>
    <row r="18" spans="1:12" ht="12.75">
      <c r="A18" s="66">
        <v>45108</v>
      </c>
      <c r="B18" s="64">
        <v>99885298.11</v>
      </c>
      <c r="C18" s="64">
        <v>1128987.8</v>
      </c>
      <c r="D18" s="64">
        <f>IF(ISBLANK(B18),"",B18-C18-E18)</f>
        <v>90925358.86</v>
      </c>
      <c r="E18" s="64">
        <v>7830951.449999999</v>
      </c>
      <c r="F18" s="65">
        <v>909</v>
      </c>
      <c r="G18" s="64">
        <f>_xlfn.IFERROR((E18/F18/31)," ")</f>
        <v>277.90026083253485</v>
      </c>
      <c r="H18" s="107"/>
      <c r="I18" s="64">
        <v>3054071.0655</v>
      </c>
      <c r="J18" s="64">
        <v>783095.16</v>
      </c>
      <c r="K18" s="64">
        <v>3993785.2395000006</v>
      </c>
      <c r="L18" s="65"/>
    </row>
    <row r="19" spans="1:12" ht="12.75">
      <c r="A19" s="66">
        <v>45139</v>
      </c>
      <c r="B19" s="64">
        <v>97344710.99</v>
      </c>
      <c r="C19" s="64">
        <v>1144246.86</v>
      </c>
      <c r="D19" s="64">
        <f>IF(ISBLANK(B19),"",B19-C19-E19)</f>
        <v>89035897.49</v>
      </c>
      <c r="E19" s="64">
        <v>7164566.6400000015</v>
      </c>
      <c r="F19" s="65">
        <v>909</v>
      </c>
      <c r="G19" s="64">
        <f>_xlfn.IFERROR((E19/F19/31)," ")</f>
        <v>254.25198339188762</v>
      </c>
      <c r="H19" s="107"/>
      <c r="I19" s="64">
        <v>2794180.989700001</v>
      </c>
      <c r="J19" s="64">
        <v>716456.7</v>
      </c>
      <c r="K19" s="64">
        <v>3653928.9864000003</v>
      </c>
      <c r="L19" s="111"/>
    </row>
    <row r="20" spans="1:12" ht="12.75">
      <c r="A20" s="66">
        <v>45170</v>
      </c>
      <c r="B20" s="64">
        <v>95104311.65</v>
      </c>
      <c r="C20" s="64">
        <v>1093226.77</v>
      </c>
      <c r="D20" s="64">
        <f t="shared" si="0"/>
        <v>86870279.48</v>
      </c>
      <c r="E20" s="64">
        <v>7140805.400000001</v>
      </c>
      <c r="F20" s="65">
        <v>910</v>
      </c>
      <c r="G20" s="64">
        <f t="shared" si="1"/>
        <v>261.5679633699634</v>
      </c>
      <c r="H20" s="107"/>
      <c r="I20" s="64">
        <v>2784914.0999999996</v>
      </c>
      <c r="J20" s="64">
        <v>714080.57</v>
      </c>
      <c r="K20" s="64">
        <v>3641810.754</v>
      </c>
      <c r="L20" s="65"/>
    </row>
    <row r="21" spans="1:12" ht="12.75">
      <c r="A21" s="66">
        <v>45200</v>
      </c>
      <c r="B21" s="64">
        <v>92088414.71</v>
      </c>
      <c r="C21" s="64">
        <v>1109804.3299999998</v>
      </c>
      <c r="D21" s="64">
        <f t="shared" si="0"/>
        <v>83847628.6</v>
      </c>
      <c r="E21" s="64">
        <v>7130981.779999999</v>
      </c>
      <c r="F21" s="65">
        <v>910</v>
      </c>
      <c r="G21" s="64">
        <f>_xlfn.IFERROR((E21/F21/31)," ")</f>
        <v>252.78205529953914</v>
      </c>
      <c r="H21" s="107"/>
      <c r="I21" s="64">
        <v>2781082.8999999994</v>
      </c>
      <c r="J21" s="64">
        <v>713098.2299999999</v>
      </c>
      <c r="K21" s="64">
        <v>3636800.7078</v>
      </c>
      <c r="L21" s="65"/>
    </row>
    <row r="22" spans="1:12" ht="12.75">
      <c r="A22" s="66">
        <v>45231</v>
      </c>
      <c r="B22" s="64">
        <v>84343662.12</v>
      </c>
      <c r="C22" s="64">
        <v>1012867.3899999999</v>
      </c>
      <c r="D22" s="64">
        <f t="shared" si="0"/>
        <v>77030064.05000001</v>
      </c>
      <c r="E22" s="64">
        <v>6300730.679999998</v>
      </c>
      <c r="F22" s="65">
        <v>910</v>
      </c>
      <c r="G22" s="64">
        <f t="shared" si="1"/>
        <v>230.79599560439553</v>
      </c>
      <c r="H22" s="107"/>
      <c r="I22" s="64">
        <v>2457284.9399999995</v>
      </c>
      <c r="J22" s="64">
        <v>630073.07</v>
      </c>
      <c r="K22" s="64">
        <v>3213372.646799999</v>
      </c>
      <c r="L22" s="65"/>
    </row>
    <row r="23" spans="1:12" ht="12.75">
      <c r="A23" s="66">
        <v>45261</v>
      </c>
      <c r="B23" s="64">
        <v>92086169.03000002</v>
      </c>
      <c r="C23" s="64">
        <v>1057049.9799999997</v>
      </c>
      <c r="D23" s="64">
        <f t="shared" si="0"/>
        <v>84302452.4</v>
      </c>
      <c r="E23" s="64">
        <v>6726666.650000003</v>
      </c>
      <c r="F23" s="65">
        <v>910</v>
      </c>
      <c r="G23" s="64">
        <f>_xlfn.IFERROR((E23/F23/31)," ")</f>
        <v>238.44972172988312</v>
      </c>
      <c r="H23" s="107"/>
      <c r="I23" s="64">
        <v>2623399.9899999993</v>
      </c>
      <c r="J23" s="64">
        <v>672666.6599999998</v>
      </c>
      <c r="K23" s="64">
        <v>3430599.9915000005</v>
      </c>
      <c r="L23" s="65"/>
    </row>
    <row r="24" spans="1:12" ht="12.75">
      <c r="A24" s="66">
        <v>45292</v>
      </c>
      <c r="B24" s="64">
        <v>79645605.02</v>
      </c>
      <c r="C24" s="64">
        <v>866086.5599999998</v>
      </c>
      <c r="D24" s="64">
        <f t="shared" si="0"/>
        <v>72987660.38999999</v>
      </c>
      <c r="E24" s="64">
        <v>5791858.070000002</v>
      </c>
      <c r="F24" s="65">
        <v>910</v>
      </c>
      <c r="G24" s="64">
        <f>_xlfn.IFERROR((E24/F24/31)," ")</f>
        <v>205.31223218716775</v>
      </c>
      <c r="H24" s="107"/>
      <c r="I24" s="64">
        <v>2258824.6399999997</v>
      </c>
      <c r="J24" s="64">
        <v>579185.8200000001</v>
      </c>
      <c r="K24" s="64">
        <v>2953847.6157</v>
      </c>
      <c r="L24" s="65"/>
    </row>
    <row r="25" spans="1:12" ht="12.75">
      <c r="A25" s="66">
        <v>45323</v>
      </c>
      <c r="B25" s="64">
        <v>96339985.63999999</v>
      </c>
      <c r="C25" s="64">
        <v>990703.3700000001</v>
      </c>
      <c r="D25" s="64">
        <f t="shared" si="0"/>
        <v>88193416.32999998</v>
      </c>
      <c r="E25" s="64">
        <v>7155865.94</v>
      </c>
      <c r="F25" s="65">
        <v>912</v>
      </c>
      <c r="G25" s="64">
        <f>_xlfn.IFERROR((E25/F25/29)," ")</f>
        <v>270.56359422262557</v>
      </c>
      <c r="H25" s="107"/>
      <c r="I25" s="64">
        <v>2790787.7399999998</v>
      </c>
      <c r="J25" s="64">
        <v>715586.6000000001</v>
      </c>
      <c r="K25" s="64">
        <v>3649491.6293999995</v>
      </c>
      <c r="L25" s="65"/>
    </row>
    <row r="26" spans="1:12" ht="12.75">
      <c r="A26" s="66">
        <v>45352</v>
      </c>
      <c r="B26" s="64">
        <v>103593103.50999999</v>
      </c>
      <c r="C26" s="64">
        <v>1097478.1300000004</v>
      </c>
      <c r="D26" s="64">
        <f t="shared" si="0"/>
        <v>94617237.97</v>
      </c>
      <c r="E26" s="64">
        <v>7878387.410000001</v>
      </c>
      <c r="F26" s="65">
        <v>920</v>
      </c>
      <c r="G26" s="64">
        <f>_xlfn.IFERROR((E26/F26/31)," ")</f>
        <v>276.2407927769986</v>
      </c>
      <c r="H26" s="107"/>
      <c r="I26" s="64">
        <v>3072571.0900000003</v>
      </c>
      <c r="J26" s="64">
        <v>787838.73</v>
      </c>
      <c r="K26" s="64">
        <v>4017977.5790999997</v>
      </c>
      <c r="L26" s="65"/>
    </row>
    <row r="27" spans="1:11" ht="13.5" thickBot="1">
      <c r="A27" s="94" t="s">
        <v>20</v>
      </c>
      <c r="B27" s="92">
        <f>SUM(B15:B26)</f>
        <v>1130353897.27</v>
      </c>
      <c r="C27" s="92">
        <f>SUM(C15:C26)</f>
        <v>12626869.330000004</v>
      </c>
      <c r="D27" s="92">
        <f>SUM(D15:D26)</f>
        <v>1033453950.6199999</v>
      </c>
      <c r="E27" s="92">
        <f>SUM(E15:E26)</f>
        <v>84273077.32000001</v>
      </c>
      <c r="F27" s="62">
        <f>SUM(F15:F26)/COUNT(F15:F26)</f>
        <v>910.25</v>
      </c>
      <c r="G27" s="60">
        <f>AVERAGE(G15:G26)</f>
        <v>253.03077597207562</v>
      </c>
      <c r="H27" s="93"/>
      <c r="I27" s="92">
        <f>SUM(I15:I26)</f>
        <v>32866500.142199997</v>
      </c>
      <c r="J27" s="92">
        <f>SUM(J15:J26)</f>
        <v>8427307.940000001</v>
      </c>
      <c r="K27" s="92">
        <f>SUM(K15:K26)</f>
        <v>42979269.43320001</v>
      </c>
    </row>
    <row r="28" spans="2:11" ht="10.5" customHeight="1" thickTop="1">
      <c r="B28" s="91"/>
      <c r="C28" s="91"/>
      <c r="D28" s="91"/>
      <c r="E28" s="91"/>
      <c r="I28" s="91"/>
      <c r="J28" s="91"/>
      <c r="K28" s="91"/>
    </row>
    <row r="29" spans="1:11" s="88" customFormat="1" ht="12.75">
      <c r="A29" s="90"/>
      <c r="B29" s="89"/>
      <c r="C29" s="89">
        <f>_xlfn.IFERROR(C27/B27,"")</f>
        <v>0.01117072216099407</v>
      </c>
      <c r="D29" s="89">
        <f>_xlfn.IFERROR(D27/B27,"")</f>
        <v>0.9142746825715112</v>
      </c>
      <c r="E29" s="89">
        <f>_xlfn.IFERROR(E27/B27,"")</f>
        <v>0.0745545952674946</v>
      </c>
      <c r="I29" s="89">
        <f>_xlfn.IFERROR(I27/$E$27,"")</f>
        <v>0.389999999850486</v>
      </c>
      <c r="J29" s="89">
        <f>_xlfn.IFERROR(J27/$E$27,"")</f>
        <v>0.10000000246816666</v>
      </c>
      <c r="K29" s="89">
        <f>_xlfn.IFERROR(K27/$E$27,"")</f>
        <v>0.51</v>
      </c>
    </row>
    <row r="31" spans="1:11" s="69" customFormat="1" ht="12.75">
      <c r="A31" s="116" t="s">
        <v>21</v>
      </c>
      <c r="B31" s="117"/>
      <c r="C31" s="117"/>
      <c r="D31" s="117"/>
      <c r="E31" s="117"/>
      <c r="F31" s="117"/>
      <c r="G31" s="117"/>
      <c r="H31" s="117"/>
      <c r="I31" s="117"/>
      <c r="J31" s="117"/>
      <c r="K31" s="117"/>
    </row>
    <row r="32" ht="12.75">
      <c r="A32" s="68"/>
    </row>
    <row r="33" spans="1:11" s="49" customFormat="1" ht="12.75" customHeight="1">
      <c r="A33" s="45" t="s">
        <v>22</v>
      </c>
      <c r="B33" s="46"/>
      <c r="C33" s="57" t="s">
        <v>94</v>
      </c>
      <c r="D33" s="58"/>
      <c r="E33" s="58"/>
      <c r="F33" s="58"/>
      <c r="G33" s="58"/>
      <c r="H33" s="58"/>
      <c r="I33" s="58"/>
      <c r="J33" s="58"/>
      <c r="K33" s="58"/>
    </row>
    <row r="34" spans="1:11" s="49" customFormat="1" ht="12.75" customHeight="1">
      <c r="A34" s="45"/>
      <c r="B34" s="46"/>
      <c r="C34" s="57" t="s">
        <v>95</v>
      </c>
      <c r="D34" s="58"/>
      <c r="E34" s="58"/>
      <c r="F34" s="58"/>
      <c r="G34" s="58"/>
      <c r="H34" s="58"/>
      <c r="I34" s="58"/>
      <c r="J34" s="58"/>
      <c r="K34" s="58"/>
    </row>
    <row r="35" spans="1:11" ht="6" customHeight="1">
      <c r="A35" s="86"/>
      <c r="B35" s="71"/>
      <c r="C35" s="71"/>
      <c r="D35" s="87"/>
      <c r="E35" s="87"/>
      <c r="F35" s="87"/>
      <c r="G35" s="87"/>
      <c r="H35" s="87"/>
      <c r="I35" s="87"/>
      <c r="J35" s="87"/>
      <c r="K35" s="87"/>
    </row>
    <row r="36" spans="1:11" ht="12.75">
      <c r="A36" s="86" t="s">
        <v>97</v>
      </c>
      <c r="B36" s="71"/>
      <c r="C36" s="71" t="s">
        <v>87</v>
      </c>
      <c r="D36" s="71"/>
      <c r="E36" s="71"/>
      <c r="F36" s="71"/>
      <c r="G36" s="71"/>
      <c r="H36" s="71"/>
      <c r="I36" s="71"/>
      <c r="J36" s="71"/>
      <c r="K36" s="71"/>
    </row>
    <row r="37" spans="1:11" ht="6" customHeight="1">
      <c r="A37" s="86"/>
      <c r="B37" s="71"/>
      <c r="C37" s="71"/>
      <c r="D37" s="71"/>
      <c r="E37" s="71"/>
      <c r="F37" s="71"/>
      <c r="G37" s="71"/>
      <c r="H37" s="71"/>
      <c r="I37" s="71"/>
      <c r="J37" s="71"/>
      <c r="K37" s="71"/>
    </row>
    <row r="38" spans="1:11" ht="12.75">
      <c r="A38" s="86" t="s">
        <v>23</v>
      </c>
      <c r="B38" s="71"/>
      <c r="C38" s="57" t="s">
        <v>101</v>
      </c>
      <c r="D38" s="71"/>
      <c r="E38" s="71"/>
      <c r="F38" s="71"/>
      <c r="G38" s="71"/>
      <c r="H38" s="71"/>
      <c r="I38" s="71"/>
      <c r="J38" s="71"/>
      <c r="K38" s="71"/>
    </row>
    <row r="39" spans="1:11" ht="6" customHeight="1">
      <c r="A39" s="86"/>
      <c r="B39" s="71"/>
      <c r="C39" s="71"/>
      <c r="D39" s="71"/>
      <c r="E39" s="71"/>
      <c r="F39" s="71"/>
      <c r="G39" s="71"/>
      <c r="H39" s="71"/>
      <c r="I39" s="71"/>
      <c r="J39" s="71"/>
      <c r="K39" s="71"/>
    </row>
    <row r="40" spans="1:11" ht="12.75">
      <c r="A40" s="86" t="s">
        <v>25</v>
      </c>
      <c r="B40" s="71"/>
      <c r="C40" s="71" t="s">
        <v>64</v>
      </c>
      <c r="D40" s="71"/>
      <c r="E40" s="71"/>
      <c r="F40" s="72"/>
      <c r="G40" s="71"/>
      <c r="H40" s="71"/>
      <c r="I40" s="71"/>
      <c r="J40" s="71"/>
      <c r="K40" s="71"/>
    </row>
    <row r="41" spans="1:11" ht="12.75">
      <c r="A41" s="86"/>
      <c r="B41" s="71"/>
      <c r="C41" s="71" t="s">
        <v>63</v>
      </c>
      <c r="D41" s="71"/>
      <c r="E41" s="71"/>
      <c r="F41" s="72"/>
      <c r="G41" s="71"/>
      <c r="H41" s="71"/>
      <c r="I41" s="71"/>
      <c r="J41" s="71"/>
      <c r="K41" s="71"/>
    </row>
    <row r="42" spans="1:11" ht="6" customHeight="1">
      <c r="A42" s="86"/>
      <c r="B42" s="71"/>
      <c r="C42" s="71"/>
      <c r="D42" s="71"/>
      <c r="E42" s="71"/>
      <c r="F42" s="72"/>
      <c r="G42" s="71"/>
      <c r="H42" s="71"/>
      <c r="I42" s="71"/>
      <c r="J42" s="71"/>
      <c r="K42" s="71"/>
    </row>
    <row r="43" spans="1:11" ht="12.75">
      <c r="A43" s="86" t="s">
        <v>28</v>
      </c>
      <c r="B43" s="71"/>
      <c r="C43" s="71" t="s">
        <v>29</v>
      </c>
      <c r="D43" s="71"/>
      <c r="E43" s="71"/>
      <c r="F43" s="72"/>
      <c r="G43" s="71"/>
      <c r="H43" s="71"/>
      <c r="I43" s="71"/>
      <c r="J43" s="71"/>
      <c r="K43" s="71"/>
    </row>
    <row r="44" spans="1:11" ht="6" customHeight="1">
      <c r="A44" s="86"/>
      <c r="B44" s="71"/>
      <c r="C44" s="71"/>
      <c r="D44" s="71"/>
      <c r="E44" s="71"/>
      <c r="F44" s="72"/>
      <c r="G44" s="71"/>
      <c r="H44" s="71"/>
      <c r="I44" s="71"/>
      <c r="J44" s="71"/>
      <c r="K44" s="71"/>
    </row>
    <row r="45" spans="1:11" s="49" customFormat="1" ht="12.75">
      <c r="A45" s="45" t="s">
        <v>74</v>
      </c>
      <c r="B45" s="46"/>
      <c r="C45" s="46" t="s">
        <v>103</v>
      </c>
      <c r="D45" s="110"/>
      <c r="E45" s="48"/>
      <c r="F45" s="46"/>
      <c r="G45" s="46"/>
      <c r="H45" s="46"/>
      <c r="I45" s="46"/>
      <c r="J45" s="46"/>
      <c r="K45" s="46"/>
    </row>
    <row r="46" spans="1:11" s="49" customFormat="1" ht="12.75">
      <c r="A46" s="45"/>
      <c r="B46" s="46"/>
      <c r="C46" s="46" t="s">
        <v>81</v>
      </c>
      <c r="D46" s="110"/>
      <c r="E46" s="48"/>
      <c r="F46" s="46"/>
      <c r="G46" s="46"/>
      <c r="H46" s="46"/>
      <c r="I46" s="46"/>
      <c r="J46" s="46"/>
      <c r="K46" s="46"/>
    </row>
    <row r="47" spans="1:11" s="49" customFormat="1" ht="12.75">
      <c r="A47" s="45"/>
      <c r="B47" s="46"/>
      <c r="C47" s="46" t="s">
        <v>82</v>
      </c>
      <c r="D47" s="110"/>
      <c r="E47" s="48"/>
      <c r="F47" s="46"/>
      <c r="G47" s="46"/>
      <c r="H47" s="46"/>
      <c r="I47" s="46"/>
      <c r="J47" s="46"/>
      <c r="K47" s="46"/>
    </row>
    <row r="48" spans="1:11" s="49" customFormat="1" ht="5.25" customHeight="1">
      <c r="A48" s="45"/>
      <c r="B48" s="46"/>
      <c r="C48" s="46"/>
      <c r="D48" s="110"/>
      <c r="E48" s="48"/>
      <c r="F48" s="46"/>
      <c r="G48" s="46"/>
      <c r="H48" s="46"/>
      <c r="I48" s="46"/>
      <c r="J48" s="46"/>
      <c r="K48" s="46"/>
    </row>
    <row r="49" spans="1:11" s="49" customFormat="1" ht="14.25" customHeight="1">
      <c r="A49" s="45"/>
      <c r="B49" s="46"/>
      <c r="C49" s="23" t="s">
        <v>120</v>
      </c>
      <c r="D49" s="110"/>
      <c r="E49" s="48"/>
      <c r="F49" s="46"/>
      <c r="G49" s="46"/>
      <c r="H49" s="46"/>
      <c r="I49" s="46"/>
      <c r="J49" s="46"/>
      <c r="K49" s="46"/>
    </row>
    <row r="50" spans="1:11" s="49" customFormat="1" ht="12.75">
      <c r="A50" s="45"/>
      <c r="B50" s="46"/>
      <c r="C50" s="23" t="s">
        <v>119</v>
      </c>
      <c r="D50" s="110"/>
      <c r="E50" s="48"/>
      <c r="F50" s="46"/>
      <c r="G50" s="46"/>
      <c r="H50" s="46"/>
      <c r="I50" s="46"/>
      <c r="J50" s="46"/>
      <c r="K50" s="46"/>
    </row>
    <row r="51" spans="1:11" s="49" customFormat="1" ht="12.75">
      <c r="A51" s="45"/>
      <c r="B51" s="46"/>
      <c r="C51" s="23" t="s">
        <v>121</v>
      </c>
      <c r="D51" s="110"/>
      <c r="E51" s="48"/>
      <c r="F51" s="46"/>
      <c r="G51" s="46"/>
      <c r="H51" s="46"/>
      <c r="I51" s="46"/>
      <c r="J51" s="46"/>
      <c r="K51" s="46"/>
    </row>
    <row r="52" spans="1:11" ht="6" customHeight="1">
      <c r="A52" s="86"/>
      <c r="B52" s="71"/>
      <c r="C52" s="71"/>
      <c r="D52" s="71"/>
      <c r="E52" s="71"/>
      <c r="F52" s="72"/>
      <c r="G52" s="71"/>
      <c r="H52" s="71"/>
      <c r="I52" s="71"/>
      <c r="J52" s="71"/>
      <c r="K52" s="71"/>
    </row>
    <row r="53" spans="1:11" s="49" customFormat="1" ht="12.75">
      <c r="A53" s="45" t="s">
        <v>86</v>
      </c>
      <c r="B53" s="46"/>
      <c r="C53" s="46" t="s">
        <v>79</v>
      </c>
      <c r="D53" s="110"/>
      <c r="E53" s="48"/>
      <c r="F53" s="46"/>
      <c r="G53" s="46"/>
      <c r="H53" s="46"/>
      <c r="I53" s="46"/>
      <c r="J53" s="46"/>
      <c r="K53" s="46"/>
    </row>
    <row r="54" spans="1:11" s="49" customFormat="1" ht="12.75">
      <c r="A54" s="50"/>
      <c r="B54" s="46"/>
      <c r="C54" s="46" t="s">
        <v>80</v>
      </c>
      <c r="D54" s="110"/>
      <c r="E54" s="48"/>
      <c r="F54" s="46"/>
      <c r="G54" s="46"/>
      <c r="H54" s="46"/>
      <c r="I54" s="46"/>
      <c r="J54" s="46"/>
      <c r="K54" s="46"/>
    </row>
    <row r="55" spans="1:11" ht="12.75">
      <c r="A55" s="85"/>
      <c r="B55" s="83"/>
      <c r="C55" s="83"/>
      <c r="D55" s="83"/>
      <c r="E55" s="83"/>
      <c r="F55" s="84"/>
      <c r="G55" s="83"/>
      <c r="H55" s="83"/>
      <c r="I55" s="83"/>
      <c r="J55" s="83"/>
      <c r="K55" s="83"/>
    </row>
    <row r="56" spans="1:11" s="69" customFormat="1" ht="12.75">
      <c r="A56" s="116" t="s">
        <v>31</v>
      </c>
      <c r="B56" s="117"/>
      <c r="C56" s="117"/>
      <c r="D56" s="117"/>
      <c r="E56" s="117"/>
      <c r="F56" s="117"/>
      <c r="G56" s="117"/>
      <c r="H56" s="117"/>
      <c r="I56" s="117"/>
      <c r="J56" s="117"/>
      <c r="K56" s="117"/>
    </row>
    <row r="57" ht="12.75">
      <c r="A57" s="68"/>
    </row>
    <row r="58" spans="1:11" ht="13.5">
      <c r="A58" s="82"/>
      <c r="D58" s="81" t="s">
        <v>9</v>
      </c>
      <c r="E58" s="81" t="s">
        <v>84</v>
      </c>
      <c r="F58" s="115" t="s">
        <v>88</v>
      </c>
      <c r="G58" s="115"/>
      <c r="H58" s="115"/>
      <c r="I58" s="115"/>
      <c r="K58" s="81"/>
    </row>
    <row r="59" spans="1:11" ht="12.75">
      <c r="A59" s="80"/>
      <c r="D59" s="77" t="s">
        <v>17</v>
      </c>
      <c r="E59" s="77" t="s">
        <v>85</v>
      </c>
      <c r="F59" s="77" t="s">
        <v>89</v>
      </c>
      <c r="G59" s="79" t="s">
        <v>90</v>
      </c>
      <c r="H59" s="78"/>
      <c r="I59" s="77" t="s">
        <v>91</v>
      </c>
      <c r="K59" s="96"/>
    </row>
    <row r="60" spans="2:11" ht="12.75">
      <c r="B60" s="73"/>
      <c r="C60" s="73"/>
      <c r="D60" s="74">
        <v>0.39</v>
      </c>
      <c r="E60" s="74">
        <v>0.1</v>
      </c>
      <c r="F60" s="74">
        <v>0.41</v>
      </c>
      <c r="G60" s="76">
        <v>0.0875</v>
      </c>
      <c r="H60" s="75"/>
      <c r="I60" s="74">
        <v>0.0125</v>
      </c>
      <c r="K60" s="74"/>
    </row>
    <row r="61" spans="2:11" ht="12.75">
      <c r="B61" s="73"/>
      <c r="C61" s="73"/>
      <c r="D61" s="73"/>
      <c r="E61" s="71"/>
      <c r="F61" s="72"/>
      <c r="G61" s="70"/>
      <c r="H61" s="71"/>
      <c r="I61" s="70"/>
      <c r="J61" s="70"/>
      <c r="K61" s="70"/>
    </row>
    <row r="62" spans="1:11" s="69" customFormat="1" ht="12.75">
      <c r="A62" s="118" t="s">
        <v>43</v>
      </c>
      <c r="B62" s="119"/>
      <c r="C62" s="119"/>
      <c r="D62" s="119"/>
      <c r="E62" s="119"/>
      <c r="F62" s="119"/>
      <c r="G62" s="119"/>
      <c r="H62" s="119"/>
      <c r="I62" s="119"/>
      <c r="J62" s="119"/>
      <c r="K62" s="119"/>
    </row>
    <row r="63" spans="1:6" ht="9" customHeight="1">
      <c r="A63" s="68"/>
      <c r="E63" s="63"/>
      <c r="F63" s="64"/>
    </row>
    <row r="64" spans="1:11" ht="52.5" customHeight="1">
      <c r="A64" s="120" t="s">
        <v>129</v>
      </c>
      <c r="B64" s="121"/>
      <c r="C64" s="121"/>
      <c r="D64" s="121"/>
      <c r="E64" s="121"/>
      <c r="F64" s="121"/>
      <c r="G64" s="121"/>
      <c r="H64" s="121"/>
      <c r="I64" s="121"/>
      <c r="J64" s="121"/>
      <c r="K64" s="121"/>
    </row>
    <row r="65" spans="1:6" ht="12.75">
      <c r="A65" s="64"/>
      <c r="E65" s="63"/>
      <c r="F65" s="64"/>
    </row>
    <row r="66" spans="2:5" ht="12.75">
      <c r="B66" s="68" t="s">
        <v>44</v>
      </c>
      <c r="C66" s="68"/>
      <c r="D66" s="68"/>
      <c r="E66" s="64">
        <v>440789</v>
      </c>
    </row>
    <row r="67" spans="2:5" ht="12.75">
      <c r="B67" s="68" t="s">
        <v>45</v>
      </c>
      <c r="C67" s="68"/>
      <c r="D67" s="68"/>
      <c r="E67" s="64">
        <v>160388</v>
      </c>
    </row>
    <row r="68" spans="2:5" ht="12.75">
      <c r="B68" s="64" t="s">
        <v>46</v>
      </c>
      <c r="E68" s="64">
        <v>200392</v>
      </c>
    </row>
    <row r="69" ht="12.75">
      <c r="E69" s="64" t="s">
        <v>39</v>
      </c>
    </row>
    <row r="70" spans="1:6" s="113" customFormat="1" ht="15" customHeight="1">
      <c r="A70" s="112" t="s">
        <v>98</v>
      </c>
      <c r="F70" s="114"/>
    </row>
  </sheetData>
  <sheetProtection/>
  <mergeCells count="12">
    <mergeCell ref="A1:K1"/>
    <mergeCell ref="A2:K2"/>
    <mergeCell ref="A3:K3"/>
    <mergeCell ref="A4:K4"/>
    <mergeCell ref="A5:K5"/>
    <mergeCell ref="A8:K8"/>
    <mergeCell ref="I10:K10"/>
    <mergeCell ref="A31:K31"/>
    <mergeCell ref="A56:K56"/>
    <mergeCell ref="F58:I58"/>
    <mergeCell ref="A62:K62"/>
    <mergeCell ref="A64:K64"/>
  </mergeCells>
  <hyperlinks>
    <hyperlink ref="A4" r:id="rId1" display="www.batavia-downs.com"/>
  </hyperlinks>
  <printOptions/>
  <pageMargins left="0.25" right="0.25" top="0.75" bottom="0.5" header="0.5" footer="0.5"/>
  <pageSetup fitToHeight="1" fitToWidth="1" horizontalDpi="600" verticalDpi="600" orientation="portrait" scale="81" r:id="rId3"/>
  <ignoredErrors>
    <ignoredError sqref="G16:G17 G20:G21 G22" formula="1"/>
  </ignoredErrors>
  <drawing r:id="rId2"/>
</worksheet>
</file>

<file path=xl/worksheets/sheet10.xml><?xml version="1.0" encoding="utf-8"?>
<worksheet xmlns="http://schemas.openxmlformats.org/spreadsheetml/2006/main" xmlns:r="http://schemas.openxmlformats.org/officeDocument/2006/relationships">
  <sheetPr>
    <pageSetUpPr fitToPage="1"/>
  </sheetPr>
  <dimension ref="A1:M76"/>
  <sheetViews>
    <sheetView zoomScalePageLayoutView="0" workbookViewId="0" topLeftCell="A10">
      <selection activeCell="B28" sqref="B28"/>
    </sheetView>
  </sheetViews>
  <sheetFormatPr defaultColWidth="9.140625" defaultRowHeight="12.75"/>
  <cols>
    <col min="1" max="1" width="9.28125" style="3" customWidth="1"/>
    <col min="2" max="3" width="13.140625" style="16" customWidth="1"/>
    <col min="4" max="4" width="13.7109375" style="16" customWidth="1"/>
    <col min="5" max="5" width="12.7109375" style="16" customWidth="1"/>
    <col min="6" max="6" width="8.8515625" style="17" customWidth="1"/>
    <col min="7" max="7" width="10.28125" style="16" customWidth="1"/>
    <col min="8" max="8" width="1.421875" style="16" customWidth="1"/>
    <col min="9" max="9" width="12.421875" style="16" customWidth="1"/>
    <col min="10" max="10" width="12.8515625" style="16" customWidth="1"/>
    <col min="11" max="12" width="13.7109375" style="16" customWidth="1"/>
    <col min="13" max="13" width="13.28125" style="16" customWidth="1"/>
    <col min="14" max="14" width="12.7109375" style="0" customWidth="1"/>
  </cols>
  <sheetData>
    <row r="1" spans="1:13" ht="18">
      <c r="A1" s="136" t="s">
        <v>100</v>
      </c>
      <c r="B1" s="136"/>
      <c r="C1" s="136"/>
      <c r="D1" s="136"/>
      <c r="E1" s="136"/>
      <c r="F1" s="136"/>
      <c r="G1" s="136"/>
      <c r="H1" s="136"/>
      <c r="I1" s="136"/>
      <c r="J1" s="136"/>
      <c r="K1" s="136"/>
      <c r="L1" s="136"/>
      <c r="M1" s="136"/>
    </row>
    <row r="2" spans="1:13" ht="15">
      <c r="A2" s="137" t="s">
        <v>0</v>
      </c>
      <c r="B2" s="137"/>
      <c r="C2" s="137"/>
      <c r="D2" s="137"/>
      <c r="E2" s="137"/>
      <c r="F2" s="137"/>
      <c r="G2" s="137"/>
      <c r="H2" s="137"/>
      <c r="I2" s="137"/>
      <c r="J2" s="137"/>
      <c r="K2" s="137"/>
      <c r="L2" s="137"/>
      <c r="M2" s="137"/>
    </row>
    <row r="3" spans="1:13" s="1" customFormat="1" ht="15">
      <c r="A3" s="137" t="s">
        <v>1</v>
      </c>
      <c r="B3" s="137"/>
      <c r="C3" s="137"/>
      <c r="D3" s="137"/>
      <c r="E3" s="137"/>
      <c r="F3" s="137"/>
      <c r="G3" s="137"/>
      <c r="H3" s="137"/>
      <c r="I3" s="137"/>
      <c r="J3" s="137"/>
      <c r="K3" s="137"/>
      <c r="L3" s="137"/>
      <c r="M3" s="137"/>
    </row>
    <row r="4" spans="1:13" s="1" customFormat="1" ht="14.25">
      <c r="A4" s="124" t="s">
        <v>2</v>
      </c>
      <c r="B4" s="124"/>
      <c r="C4" s="124"/>
      <c r="D4" s="124"/>
      <c r="E4" s="124"/>
      <c r="F4" s="124"/>
      <c r="G4" s="124"/>
      <c r="H4" s="124"/>
      <c r="I4" s="124"/>
      <c r="J4" s="124"/>
      <c r="K4" s="124"/>
      <c r="L4" s="124"/>
      <c r="M4" s="124"/>
    </row>
    <row r="5" spans="1:13" s="1" customFormat="1" ht="14.25">
      <c r="A5" s="138" t="s">
        <v>3</v>
      </c>
      <c r="B5" s="138"/>
      <c r="C5" s="138"/>
      <c r="D5" s="138"/>
      <c r="E5" s="138"/>
      <c r="F5" s="138"/>
      <c r="G5" s="138"/>
      <c r="H5" s="138"/>
      <c r="I5" s="138"/>
      <c r="J5" s="138"/>
      <c r="K5" s="138"/>
      <c r="L5" s="138"/>
      <c r="M5" s="138"/>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129" t="s">
        <v>102</v>
      </c>
      <c r="B8" s="130"/>
      <c r="C8" s="130"/>
      <c r="D8" s="130"/>
      <c r="E8" s="130"/>
      <c r="F8" s="130"/>
      <c r="G8" s="130"/>
      <c r="H8" s="130"/>
      <c r="I8" s="130"/>
      <c r="J8" s="130"/>
      <c r="K8" s="130"/>
      <c r="L8" s="130"/>
      <c r="M8" s="131"/>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128" t="s">
        <v>5</v>
      </c>
      <c r="J10" s="128"/>
      <c r="K10" s="128"/>
      <c r="L10" s="128"/>
      <c r="M10" s="128"/>
    </row>
    <row r="11" spans="1:13" s="1" customFormat="1" ht="12.75">
      <c r="A11" s="3"/>
      <c r="B11" s="5"/>
      <c r="C11" s="5"/>
      <c r="D11" s="5"/>
      <c r="E11" s="5"/>
      <c r="F11" s="6"/>
      <c r="G11" s="5"/>
      <c r="H11" s="5"/>
      <c r="I11" s="5"/>
      <c r="J11" s="5"/>
      <c r="K11" s="5"/>
      <c r="L11" s="5"/>
      <c r="M11" s="5"/>
    </row>
    <row r="12" spans="1:13" s="12" customFormat="1" ht="12">
      <c r="A12" s="9"/>
      <c r="B12" s="10" t="s">
        <v>6</v>
      </c>
      <c r="C12" s="10" t="s">
        <v>72</v>
      </c>
      <c r="D12" s="10" t="s">
        <v>6</v>
      </c>
      <c r="E12" s="10"/>
      <c r="F12" s="11" t="s">
        <v>7</v>
      </c>
      <c r="G12" s="10" t="s">
        <v>8</v>
      </c>
      <c r="H12" s="10"/>
      <c r="I12" s="10" t="s">
        <v>9</v>
      </c>
      <c r="J12" s="10" t="s">
        <v>83</v>
      </c>
      <c r="K12" s="10" t="s">
        <v>10</v>
      </c>
      <c r="L12" s="10" t="s">
        <v>84</v>
      </c>
      <c r="M12" s="10" t="s">
        <v>49</v>
      </c>
    </row>
    <row r="13" spans="1:13" s="12" customFormat="1" ht="12">
      <c r="A13" s="13" t="s">
        <v>11</v>
      </c>
      <c r="B13" s="8" t="s">
        <v>12</v>
      </c>
      <c r="C13" s="8" t="s">
        <v>19</v>
      </c>
      <c r="D13" s="8" t="s">
        <v>13</v>
      </c>
      <c r="E13" s="8" t="s">
        <v>14</v>
      </c>
      <c r="F13" s="14" t="s">
        <v>15</v>
      </c>
      <c r="G13" s="8" t="s">
        <v>16</v>
      </c>
      <c r="H13" s="15"/>
      <c r="I13" s="8" t="s">
        <v>17</v>
      </c>
      <c r="J13" s="8" t="s">
        <v>18</v>
      </c>
      <c r="K13" s="8" t="s">
        <v>19</v>
      </c>
      <c r="L13" s="8" t="s">
        <v>85</v>
      </c>
      <c r="M13" s="8" t="s">
        <v>50</v>
      </c>
    </row>
    <row r="15" spans="1:13" ht="12.75">
      <c r="A15" s="3">
        <v>41730</v>
      </c>
      <c r="B15" s="16">
        <v>50996454.46</v>
      </c>
      <c r="C15" s="16">
        <f>385655.24-368204.9</f>
        <v>17450.339999999967</v>
      </c>
      <c r="D15" s="16">
        <f aca="true" t="shared" si="0" ref="D15:D26">+B15-C15-E15</f>
        <v>46299073.69</v>
      </c>
      <c r="E15" s="16">
        <v>4679930.43</v>
      </c>
      <c r="F15" s="17">
        <v>788</v>
      </c>
      <c r="G15" s="16">
        <f>E15/F15/30</f>
        <v>197.9666002538071</v>
      </c>
      <c r="I15" s="16">
        <v>1918771.5</v>
      </c>
      <c r="J15" s="16">
        <v>1637975.63</v>
      </c>
      <c r="K15" s="16">
        <v>467993.06</v>
      </c>
      <c r="L15" s="16">
        <v>467993.06</v>
      </c>
      <c r="M15" s="16">
        <v>187197.21</v>
      </c>
    </row>
    <row r="16" spans="1:13" ht="12.75">
      <c r="A16" s="3">
        <v>41760</v>
      </c>
      <c r="B16" s="16">
        <v>55916856.8</v>
      </c>
      <c r="C16" s="16">
        <f>515894.56-38659.2</f>
        <v>477235.36</v>
      </c>
      <c r="D16" s="16">
        <f t="shared" si="0"/>
        <v>50895906.48</v>
      </c>
      <c r="E16" s="16">
        <v>4543714.96</v>
      </c>
      <c r="F16" s="17">
        <v>782.5483870967741</v>
      </c>
      <c r="G16" s="16">
        <f>E16/F16/31</f>
        <v>187.30017560493013</v>
      </c>
      <c r="I16" s="16">
        <v>1862923.14</v>
      </c>
      <c r="J16" s="16">
        <v>1590300.25</v>
      </c>
      <c r="K16" s="16">
        <v>454371.51</v>
      </c>
      <c r="L16" s="16">
        <v>454371.51</v>
      </c>
      <c r="M16" s="16">
        <v>181748.6</v>
      </c>
    </row>
    <row r="17" spans="1:13" ht="12.75">
      <c r="A17" s="3">
        <v>41791</v>
      </c>
      <c r="B17" s="16">
        <v>47127809.34</v>
      </c>
      <c r="C17" s="16">
        <f>417942.47-39635.3</f>
        <v>378307.17</v>
      </c>
      <c r="D17" s="16">
        <f t="shared" si="0"/>
        <v>42838912.96</v>
      </c>
      <c r="E17" s="16">
        <v>3910589.21</v>
      </c>
      <c r="F17" s="17">
        <v>775.6333333333333</v>
      </c>
      <c r="G17" s="16">
        <f>E17/F17/30</f>
        <v>168.0600459839271</v>
      </c>
      <c r="I17" s="16">
        <v>1603341.57</v>
      </c>
      <c r="J17" s="16">
        <v>1368706.25</v>
      </c>
      <c r="K17" s="16">
        <v>391058.94</v>
      </c>
      <c r="L17" s="16">
        <v>391058.94</v>
      </c>
      <c r="M17" s="16">
        <v>156423.57</v>
      </c>
    </row>
    <row r="18" spans="1:13" ht="12.75">
      <c r="A18" s="3">
        <v>41821</v>
      </c>
      <c r="B18" s="16">
        <v>50922724.46</v>
      </c>
      <c r="C18" s="16">
        <f>456481.4-41019.2</f>
        <v>415462.2</v>
      </c>
      <c r="D18" s="16">
        <f t="shared" si="0"/>
        <v>46292559.62</v>
      </c>
      <c r="E18" s="16">
        <v>4214702.64</v>
      </c>
      <c r="F18" s="17">
        <v>776</v>
      </c>
      <c r="G18" s="16">
        <f>E18/F18/31</f>
        <v>175.20380113069504</v>
      </c>
      <c r="I18" s="16">
        <v>1728028.08</v>
      </c>
      <c r="J18" s="16">
        <v>1475145.95</v>
      </c>
      <c r="K18" s="16">
        <v>421470.3</v>
      </c>
      <c r="L18" s="16">
        <v>421470.3</v>
      </c>
      <c r="M18" s="16">
        <v>168588.09</v>
      </c>
    </row>
    <row r="19" spans="1:13" ht="12.75">
      <c r="A19" s="3">
        <v>41852</v>
      </c>
      <c r="B19" s="16">
        <v>56092888.86</v>
      </c>
      <c r="C19" s="16">
        <f>543099.51-39034.5</f>
        <v>504065.01</v>
      </c>
      <c r="D19" s="16">
        <f t="shared" si="0"/>
        <v>51099608.71</v>
      </c>
      <c r="E19" s="16">
        <v>4489215.14</v>
      </c>
      <c r="F19" s="17">
        <v>776</v>
      </c>
      <c r="G19" s="16">
        <f>E19/F19/31</f>
        <v>186.61519537745258</v>
      </c>
      <c r="I19" s="16">
        <v>1840578.23</v>
      </c>
      <c r="J19" s="16">
        <v>1571225.32</v>
      </c>
      <c r="K19" s="16">
        <v>448921.52</v>
      </c>
      <c r="L19" s="16">
        <v>448921.52</v>
      </c>
      <c r="M19" s="16">
        <v>179568.62</v>
      </c>
    </row>
    <row r="20" spans="1:13" ht="12.75">
      <c r="A20" s="3">
        <v>41883</v>
      </c>
      <c r="B20" s="16">
        <v>51611801.58</v>
      </c>
      <c r="C20" s="16">
        <f>550939.59-35088.2</f>
        <v>515851.38999999996</v>
      </c>
      <c r="D20" s="16">
        <f t="shared" si="0"/>
        <v>47013302.19</v>
      </c>
      <c r="E20" s="16">
        <v>4082648</v>
      </c>
      <c r="F20" s="17">
        <v>776</v>
      </c>
      <c r="G20" s="16">
        <f>E20/F20/30</f>
        <v>175.37147766323022</v>
      </c>
      <c r="I20" s="16">
        <v>1673885.69</v>
      </c>
      <c r="J20" s="16">
        <v>1428926.8</v>
      </c>
      <c r="K20" s="16">
        <v>408264.8</v>
      </c>
      <c r="L20" s="16">
        <v>408264.8</v>
      </c>
      <c r="M20" s="16">
        <v>163305.94</v>
      </c>
    </row>
    <row r="21" spans="1:13" ht="12.75">
      <c r="A21" s="3">
        <v>41913</v>
      </c>
      <c r="B21" s="16">
        <v>54372250.45</v>
      </c>
      <c r="C21" s="16">
        <f>674317.78-34813.65</f>
        <v>639504.13</v>
      </c>
      <c r="D21" s="16">
        <f t="shared" si="0"/>
        <v>49535147.09</v>
      </c>
      <c r="E21" s="16">
        <v>4197599.23</v>
      </c>
      <c r="F21" s="17">
        <v>776</v>
      </c>
      <c r="G21" s="16">
        <f>E21/F21/31</f>
        <v>174.49281800798138</v>
      </c>
      <c r="I21" s="16">
        <v>1721015.68</v>
      </c>
      <c r="J21" s="16">
        <v>1469159.73</v>
      </c>
      <c r="K21" s="16">
        <v>419759.94</v>
      </c>
      <c r="L21" s="16">
        <v>419759.94</v>
      </c>
      <c r="M21" s="16">
        <v>167903.98</v>
      </c>
    </row>
    <row r="22" spans="1:13" ht="12.75">
      <c r="A22" s="3">
        <v>41944</v>
      </c>
      <c r="B22" s="16">
        <v>44804562.14</v>
      </c>
      <c r="C22" s="16">
        <f>481632.02-37225.6</f>
        <v>444406.42000000004</v>
      </c>
      <c r="D22" s="16">
        <f t="shared" si="0"/>
        <v>40934048.81</v>
      </c>
      <c r="E22" s="16">
        <v>3426106.91</v>
      </c>
      <c r="F22" s="17">
        <v>776</v>
      </c>
      <c r="G22" s="16">
        <f>E22/F22/30</f>
        <v>147.16954080756014</v>
      </c>
      <c r="I22" s="16">
        <v>1404703.85</v>
      </c>
      <c r="J22" s="16">
        <v>1199137.4</v>
      </c>
      <c r="K22" s="16">
        <v>342610.72</v>
      </c>
      <c r="L22" s="16">
        <v>342610.7</v>
      </c>
      <c r="M22" s="16">
        <v>137044.3</v>
      </c>
    </row>
    <row r="23" spans="1:13" ht="12.75">
      <c r="A23" s="3">
        <v>41974</v>
      </c>
      <c r="B23" s="16">
        <v>47008600.46</v>
      </c>
      <c r="C23" s="16">
        <f>506183.85-37068.9</f>
        <v>469114.94999999995</v>
      </c>
      <c r="D23" s="16">
        <f t="shared" si="0"/>
        <v>42708173.4</v>
      </c>
      <c r="E23" s="16">
        <v>3831312.11</v>
      </c>
      <c r="F23" s="17">
        <v>765.8709677419355</v>
      </c>
      <c r="G23" s="16">
        <f>E23/F23/31</f>
        <v>161.37276177238647</v>
      </c>
      <c r="I23" s="16">
        <v>1570837.98</v>
      </c>
      <c r="J23" s="16">
        <v>1340959.25</v>
      </c>
      <c r="K23" s="16">
        <v>383131.23</v>
      </c>
      <c r="L23" s="16">
        <v>383131.23</v>
      </c>
      <c r="M23" s="16">
        <v>153252.46</v>
      </c>
    </row>
    <row r="24" spans="1:13" ht="12.75">
      <c r="A24" s="3">
        <v>42005</v>
      </c>
      <c r="B24" s="16">
        <v>45087272.63</v>
      </c>
      <c r="C24" s="16">
        <f>429528.36-33075.25</f>
        <v>396453.11</v>
      </c>
      <c r="D24" s="16">
        <f t="shared" si="0"/>
        <v>41119714.24</v>
      </c>
      <c r="E24" s="16">
        <v>3571105.28</v>
      </c>
      <c r="F24" s="17">
        <v>788</v>
      </c>
      <c r="G24" s="16">
        <f>E24/F24/31</f>
        <v>146.18901588341245</v>
      </c>
      <c r="I24" s="16">
        <v>1464153.16</v>
      </c>
      <c r="J24" s="16">
        <v>1249886.87</v>
      </c>
      <c r="K24" s="16">
        <v>357110.55</v>
      </c>
      <c r="L24" s="16">
        <v>357110.55</v>
      </c>
      <c r="M24" s="16">
        <v>142844.21</v>
      </c>
    </row>
    <row r="25" spans="1:13" ht="12.75">
      <c r="A25" s="3">
        <v>42036</v>
      </c>
      <c r="B25" s="16">
        <v>45933175.14</v>
      </c>
      <c r="C25" s="16">
        <f>517024.25-49532.61</f>
        <v>467491.64</v>
      </c>
      <c r="D25" s="16">
        <f t="shared" si="0"/>
        <v>41916178.26</v>
      </c>
      <c r="E25" s="16">
        <v>3549505.24</v>
      </c>
      <c r="F25" s="17">
        <v>788</v>
      </c>
      <c r="G25" s="16">
        <f>E25/F25/28</f>
        <v>160.87315264684554</v>
      </c>
      <c r="I25" s="16">
        <v>1455297.16</v>
      </c>
      <c r="J25" s="16">
        <v>1242326.86</v>
      </c>
      <c r="K25" s="16">
        <v>354950.52</v>
      </c>
      <c r="L25" s="16">
        <v>354950.52</v>
      </c>
      <c r="M25" s="16">
        <v>141980.22</v>
      </c>
    </row>
    <row r="26" spans="1:13" ht="12.75">
      <c r="A26" s="3">
        <v>42064</v>
      </c>
      <c r="B26" s="16">
        <v>57223792.43</v>
      </c>
      <c r="C26" s="16">
        <f>502094.97-38582.01</f>
        <v>463512.95999999996</v>
      </c>
      <c r="D26" s="16">
        <f t="shared" si="0"/>
        <v>52241635.5</v>
      </c>
      <c r="E26" s="16">
        <v>4518643.97</v>
      </c>
      <c r="F26" s="17">
        <v>788</v>
      </c>
      <c r="G26" s="16">
        <f>E26/F26/31</f>
        <v>184.9780567381693</v>
      </c>
      <c r="I26" s="16">
        <v>1852644.06</v>
      </c>
      <c r="J26" s="16">
        <v>1581525.4</v>
      </c>
      <c r="K26" s="16">
        <v>451864.39</v>
      </c>
      <c r="L26" s="16">
        <v>451864.39</v>
      </c>
      <c r="M26" s="16">
        <v>180745.77</v>
      </c>
    </row>
    <row r="27" spans="1:13" ht="13.5" thickBot="1">
      <c r="A27" s="3" t="s">
        <v>20</v>
      </c>
      <c r="B27" s="18">
        <f>SUM(B15:B26)</f>
        <v>607098188.7499999</v>
      </c>
      <c r="C27" s="18">
        <f>SUM(C15:C26)</f>
        <v>5188854.68</v>
      </c>
      <c r="D27" s="18">
        <f>SUM(D15:D26)</f>
        <v>552894260.95</v>
      </c>
      <c r="E27" s="18">
        <f>SUM(E15:E26)</f>
        <v>49015073.120000005</v>
      </c>
      <c r="I27" s="18">
        <f>SUM(I15:I26)</f>
        <v>20096180.099999998</v>
      </c>
      <c r="J27" s="18">
        <f>SUM(J15:J26)</f>
        <v>17155275.71</v>
      </c>
      <c r="K27" s="18">
        <f>SUM(K15:K26)</f>
        <v>4901507.4799999995</v>
      </c>
      <c r="L27" s="18">
        <f>SUM(L15:L26)</f>
        <v>4901507.46</v>
      </c>
      <c r="M27" s="18">
        <f>SUM(M15:M26)</f>
        <v>1960602.97</v>
      </c>
    </row>
    <row r="28" spans="2:13" ht="10.5" customHeight="1" thickTop="1">
      <c r="B28" s="19"/>
      <c r="C28" s="19"/>
      <c r="D28" s="19"/>
      <c r="E28" s="19"/>
      <c r="I28" s="19"/>
      <c r="J28" s="19"/>
      <c r="K28" s="19"/>
      <c r="L28" s="19"/>
      <c r="M28" s="19"/>
    </row>
    <row r="29" spans="1:13" s="22" customFormat="1" ht="12.75">
      <c r="A29" s="20"/>
      <c r="B29" s="21"/>
      <c r="C29" s="21">
        <f>C27/B27</f>
        <v>0.008546977698424241</v>
      </c>
      <c r="D29" s="21">
        <f>D27/B27</f>
        <v>0.9107163737193742</v>
      </c>
      <c r="E29" s="21">
        <f>E27/B27</f>
        <v>0.08073664858220188</v>
      </c>
      <c r="I29" s="21">
        <f>I27/$E$27</f>
        <v>0.41000000246454793</v>
      </c>
      <c r="J29" s="21">
        <f>J27/$E$27</f>
        <v>0.3500000024074227</v>
      </c>
      <c r="K29" s="21">
        <f>K27/$E$27</f>
        <v>0.10000000342751705</v>
      </c>
      <c r="L29" s="21">
        <f>L27/$E$27</f>
        <v>0.10000000301947931</v>
      </c>
      <c r="M29" s="21">
        <f>M27/$E$27</f>
        <v>0.0400000009221653</v>
      </c>
    </row>
    <row r="31" spans="1:13" s="23" customFormat="1" ht="12.75">
      <c r="A31" s="129" t="s">
        <v>21</v>
      </c>
      <c r="B31" s="130"/>
      <c r="C31" s="130"/>
      <c r="D31" s="130"/>
      <c r="E31" s="130"/>
      <c r="F31" s="130"/>
      <c r="G31" s="130"/>
      <c r="H31" s="130"/>
      <c r="I31" s="130"/>
      <c r="J31" s="130"/>
      <c r="K31" s="130"/>
      <c r="L31" s="130"/>
      <c r="M31" s="131"/>
    </row>
    <row r="32" ht="12.75">
      <c r="A32" s="24"/>
    </row>
    <row r="33" spans="1:12" s="49" customFormat="1" ht="12.75" customHeight="1">
      <c r="A33" s="45" t="s">
        <v>22</v>
      </c>
      <c r="B33" s="46"/>
      <c r="C33" s="57" t="s">
        <v>94</v>
      </c>
      <c r="D33" s="58"/>
      <c r="E33" s="58"/>
      <c r="F33" s="58"/>
      <c r="G33" s="58"/>
      <c r="H33" s="58"/>
      <c r="I33" s="58"/>
      <c r="J33" s="58"/>
      <c r="K33" s="58"/>
      <c r="L33" s="58"/>
    </row>
    <row r="34" spans="1:12" s="49" customFormat="1" ht="12.75" customHeight="1">
      <c r="A34" s="45"/>
      <c r="B34" s="46"/>
      <c r="C34" s="57" t="s">
        <v>95</v>
      </c>
      <c r="D34" s="58"/>
      <c r="E34" s="58"/>
      <c r="F34" s="58"/>
      <c r="G34" s="58"/>
      <c r="H34" s="58"/>
      <c r="I34" s="58"/>
      <c r="J34" s="58"/>
      <c r="K34" s="58"/>
      <c r="L34" s="58"/>
    </row>
    <row r="35" spans="1:13" ht="6" customHeight="1">
      <c r="A35" s="25"/>
      <c r="B35" s="26"/>
      <c r="C35" s="26"/>
      <c r="D35" s="43"/>
      <c r="E35" s="43"/>
      <c r="F35" s="43"/>
      <c r="G35" s="43"/>
      <c r="H35" s="43"/>
      <c r="I35" s="43"/>
      <c r="J35" s="43"/>
      <c r="K35" s="43"/>
      <c r="L35" s="43"/>
      <c r="M35"/>
    </row>
    <row r="36" spans="1:13" ht="12.75">
      <c r="A36" s="25" t="s">
        <v>97</v>
      </c>
      <c r="B36" s="26"/>
      <c r="C36" s="26" t="s">
        <v>87</v>
      </c>
      <c r="F36" s="26"/>
      <c r="G36" s="26"/>
      <c r="H36" s="26"/>
      <c r="I36" s="26"/>
      <c r="J36" s="26"/>
      <c r="K36" s="26"/>
      <c r="L36" s="26"/>
      <c r="M36" s="26"/>
    </row>
    <row r="37" spans="1:13" ht="6" customHeight="1">
      <c r="A37" s="25"/>
      <c r="B37" s="26"/>
      <c r="C37" s="26"/>
      <c r="D37" s="26"/>
      <c r="F37" s="26"/>
      <c r="G37" s="26"/>
      <c r="H37" s="26"/>
      <c r="I37" s="26"/>
      <c r="J37" s="26"/>
      <c r="K37" s="26"/>
      <c r="L37" s="26"/>
      <c r="M37" s="26"/>
    </row>
    <row r="38" spans="1:13" ht="12.75">
      <c r="A38" s="25" t="s">
        <v>23</v>
      </c>
      <c r="B38" s="26"/>
      <c r="C38" s="57" t="s">
        <v>101</v>
      </c>
      <c r="F38" s="26"/>
      <c r="G38" s="26"/>
      <c r="H38" s="26"/>
      <c r="I38" s="26"/>
      <c r="J38" s="26"/>
      <c r="K38" s="26"/>
      <c r="L38" s="26"/>
      <c r="M38" s="26"/>
    </row>
    <row r="39" spans="1:13" ht="6" customHeight="1">
      <c r="A39" s="25"/>
      <c r="B39" s="26"/>
      <c r="C39" s="26"/>
      <c r="F39" s="26"/>
      <c r="G39" s="26"/>
      <c r="H39" s="26"/>
      <c r="I39" s="26"/>
      <c r="J39" s="26"/>
      <c r="K39" s="26"/>
      <c r="L39" s="26"/>
      <c r="M39" s="26"/>
    </row>
    <row r="40" spans="1:13" ht="12.75">
      <c r="A40" s="25" t="s">
        <v>25</v>
      </c>
      <c r="B40" s="26"/>
      <c r="C40" s="26" t="s">
        <v>64</v>
      </c>
      <c r="F40" s="27"/>
      <c r="G40" s="26"/>
      <c r="H40" s="26"/>
      <c r="I40" s="26"/>
      <c r="J40" s="26"/>
      <c r="K40" s="26"/>
      <c r="L40" s="26"/>
      <c r="M40" s="26"/>
    </row>
    <row r="41" spans="1:13" ht="12.75">
      <c r="A41" s="25"/>
      <c r="B41" s="26"/>
      <c r="C41" s="26" t="s">
        <v>63</v>
      </c>
      <c r="F41" s="27"/>
      <c r="G41" s="26"/>
      <c r="H41" s="26"/>
      <c r="I41" s="26"/>
      <c r="J41" s="26"/>
      <c r="K41" s="26"/>
      <c r="L41" s="26"/>
      <c r="M41" s="26"/>
    </row>
    <row r="42" spans="1:13" ht="6" customHeight="1">
      <c r="A42" s="25"/>
      <c r="B42" s="26"/>
      <c r="C42" s="26"/>
      <c r="F42" s="27"/>
      <c r="G42" s="26"/>
      <c r="H42" s="26"/>
      <c r="I42" s="26"/>
      <c r="J42" s="26"/>
      <c r="K42" s="26"/>
      <c r="L42" s="26"/>
      <c r="M42" s="26"/>
    </row>
    <row r="43" spans="1:13" ht="12.75">
      <c r="A43" s="25" t="s">
        <v>28</v>
      </c>
      <c r="B43" s="26"/>
      <c r="C43" s="26" t="s">
        <v>29</v>
      </c>
      <c r="F43" s="27"/>
      <c r="G43" s="26"/>
      <c r="H43" s="26"/>
      <c r="I43" s="26"/>
      <c r="J43" s="26"/>
      <c r="K43" s="26"/>
      <c r="L43" s="26"/>
      <c r="M43" s="26"/>
    </row>
    <row r="44" spans="1:13" ht="6" customHeight="1">
      <c r="A44" s="25"/>
      <c r="B44" s="26"/>
      <c r="C44" s="26"/>
      <c r="D44" s="26"/>
      <c r="F44" s="27"/>
      <c r="G44" s="26"/>
      <c r="H44" s="26"/>
      <c r="I44" s="26"/>
      <c r="J44" s="26"/>
      <c r="K44" s="26"/>
      <c r="L44" s="26"/>
      <c r="M44" s="26"/>
    </row>
    <row r="45" spans="1:12" s="49" customFormat="1" ht="12.75">
      <c r="A45" s="45" t="s">
        <v>74</v>
      </c>
      <c r="B45" s="46"/>
      <c r="C45" s="46" t="s">
        <v>103</v>
      </c>
      <c r="D45" s="47"/>
      <c r="E45" s="48"/>
      <c r="F45" s="46"/>
      <c r="G45" s="46"/>
      <c r="H45" s="46"/>
      <c r="I45" s="46"/>
      <c r="J45" s="46"/>
      <c r="K45" s="46"/>
      <c r="L45" s="46"/>
    </row>
    <row r="46" spans="1:12" s="49" customFormat="1" ht="12.75">
      <c r="A46" s="45"/>
      <c r="B46" s="46"/>
      <c r="C46" s="46" t="s">
        <v>81</v>
      </c>
      <c r="D46" s="47"/>
      <c r="E46" s="48"/>
      <c r="F46" s="46"/>
      <c r="G46" s="46"/>
      <c r="H46" s="46"/>
      <c r="I46" s="46"/>
      <c r="J46" s="46"/>
      <c r="K46" s="46"/>
      <c r="L46" s="46"/>
    </row>
    <row r="47" spans="1:12" s="49" customFormat="1" ht="12.75">
      <c r="A47" s="45"/>
      <c r="B47" s="46"/>
      <c r="C47" s="46" t="s">
        <v>82</v>
      </c>
      <c r="D47" s="47"/>
      <c r="E47" s="48"/>
      <c r="F47" s="46"/>
      <c r="G47" s="46"/>
      <c r="H47" s="46"/>
      <c r="I47" s="46"/>
      <c r="J47" s="46"/>
      <c r="K47" s="46"/>
      <c r="L47" s="46"/>
    </row>
    <row r="48" spans="1:13" ht="6" customHeight="1">
      <c r="A48" s="25"/>
      <c r="B48" s="26"/>
      <c r="C48" s="26"/>
      <c r="D48" s="26"/>
      <c r="F48" s="27"/>
      <c r="G48" s="26"/>
      <c r="H48" s="26"/>
      <c r="I48" s="26"/>
      <c r="J48" s="26"/>
      <c r="K48" s="26"/>
      <c r="L48" s="26"/>
      <c r="M48" s="26"/>
    </row>
    <row r="49" spans="1:12" s="49" customFormat="1" ht="12.75">
      <c r="A49" s="45" t="s">
        <v>30</v>
      </c>
      <c r="B49" s="46"/>
      <c r="C49" s="46" t="s">
        <v>104</v>
      </c>
      <c r="D49" s="47"/>
      <c r="E49" s="48"/>
      <c r="F49" s="46"/>
      <c r="G49" s="46"/>
      <c r="H49" s="46"/>
      <c r="I49" s="46"/>
      <c r="J49" s="46"/>
      <c r="K49" s="46"/>
      <c r="L49" s="46"/>
    </row>
    <row r="50" spans="1:12" s="49" customFormat="1" ht="12.75">
      <c r="A50" s="45"/>
      <c r="B50" s="46"/>
      <c r="C50" s="46" t="s">
        <v>105</v>
      </c>
      <c r="D50" s="47"/>
      <c r="E50" s="48"/>
      <c r="F50" s="46"/>
      <c r="G50" s="46"/>
      <c r="H50" s="46"/>
      <c r="I50" s="46"/>
      <c r="J50" s="46"/>
      <c r="K50" s="46"/>
      <c r="L50" s="46"/>
    </row>
    <row r="51" spans="1:13" ht="6" customHeight="1">
      <c r="A51" s="25"/>
      <c r="B51" s="26"/>
      <c r="C51" s="26"/>
      <c r="D51" s="26"/>
      <c r="F51" s="27"/>
      <c r="G51" s="26"/>
      <c r="H51" s="26"/>
      <c r="I51" s="26"/>
      <c r="J51" s="26"/>
      <c r="K51" s="26"/>
      <c r="L51" s="26"/>
      <c r="M51" s="26"/>
    </row>
    <row r="52" spans="1:12" s="49" customFormat="1" ht="12.75">
      <c r="A52" s="45" t="s">
        <v>86</v>
      </c>
      <c r="B52" s="46"/>
      <c r="C52" s="46" t="s">
        <v>79</v>
      </c>
      <c r="D52" s="47"/>
      <c r="E52" s="48"/>
      <c r="F52" s="46"/>
      <c r="G52" s="46"/>
      <c r="H52" s="46"/>
      <c r="I52" s="46"/>
      <c r="J52" s="46"/>
      <c r="K52" s="46"/>
      <c r="L52" s="46"/>
    </row>
    <row r="53" spans="1:12" s="49" customFormat="1" ht="12.75">
      <c r="A53" s="50"/>
      <c r="B53" s="46"/>
      <c r="C53" s="46" t="s">
        <v>80</v>
      </c>
      <c r="D53" s="47"/>
      <c r="E53" s="48"/>
      <c r="F53" s="46"/>
      <c r="G53" s="46"/>
      <c r="H53" s="46"/>
      <c r="I53" s="46"/>
      <c r="J53" s="46"/>
      <c r="K53" s="46"/>
      <c r="L53" s="46"/>
    </row>
    <row r="54" spans="1:13" ht="6" customHeight="1">
      <c r="A54" s="29"/>
      <c r="B54" s="30"/>
      <c r="C54" s="30"/>
      <c r="D54" s="30"/>
      <c r="E54" s="30"/>
      <c r="F54" s="31"/>
      <c r="G54" s="30"/>
      <c r="H54" s="30"/>
      <c r="I54" s="30"/>
      <c r="J54" s="30"/>
      <c r="K54" s="30"/>
      <c r="L54" s="30"/>
      <c r="M54" s="30"/>
    </row>
    <row r="55" spans="1:12" ht="12.75">
      <c r="A55" s="25" t="s">
        <v>51</v>
      </c>
      <c r="B55" s="26"/>
      <c r="C55" s="26" t="s">
        <v>65</v>
      </c>
      <c r="F55" s="27"/>
      <c r="G55" s="26"/>
      <c r="H55" s="26"/>
      <c r="I55" s="26"/>
      <c r="J55" s="26"/>
      <c r="K55" s="26"/>
      <c r="L55" s="26"/>
    </row>
    <row r="56" spans="1:12" ht="12.75">
      <c r="A56" s="28"/>
      <c r="B56" s="26"/>
      <c r="C56" s="26" t="s">
        <v>67</v>
      </c>
      <c r="F56" s="27"/>
      <c r="G56" s="26"/>
      <c r="H56" s="26"/>
      <c r="I56" s="26"/>
      <c r="J56" s="26"/>
      <c r="K56" s="26"/>
      <c r="L56" s="26"/>
    </row>
    <row r="57" spans="1:12" ht="12.75">
      <c r="A57" s="28"/>
      <c r="B57" s="26"/>
      <c r="C57" s="26" t="s">
        <v>66</v>
      </c>
      <c r="F57" s="27"/>
      <c r="G57" s="26"/>
      <c r="H57" s="26"/>
      <c r="I57" s="26"/>
      <c r="J57" s="26"/>
      <c r="K57" s="26"/>
      <c r="L57" s="26"/>
    </row>
    <row r="58" spans="1:13" ht="12.75">
      <c r="A58" s="29"/>
      <c r="B58" s="30"/>
      <c r="C58" s="30"/>
      <c r="D58" s="30"/>
      <c r="E58" s="30"/>
      <c r="F58" s="31"/>
      <c r="G58" s="30"/>
      <c r="H58" s="30"/>
      <c r="I58" s="30"/>
      <c r="J58" s="30"/>
      <c r="K58" s="30"/>
      <c r="L58" s="30"/>
      <c r="M58" s="30"/>
    </row>
    <row r="59" spans="1:13" s="23" customFormat="1" ht="12.75">
      <c r="A59" s="129" t="s">
        <v>31</v>
      </c>
      <c r="B59" s="130"/>
      <c r="C59" s="130"/>
      <c r="D59" s="130"/>
      <c r="E59" s="130"/>
      <c r="F59" s="130"/>
      <c r="G59" s="130"/>
      <c r="H59" s="130"/>
      <c r="I59" s="130"/>
      <c r="J59" s="130"/>
      <c r="K59" s="130"/>
      <c r="L59" s="130"/>
      <c r="M59" s="131"/>
    </row>
    <row r="60" ht="12.75">
      <c r="A60" s="24"/>
    </row>
    <row r="61" spans="1:12" ht="13.5">
      <c r="A61" s="32"/>
      <c r="E61" s="10" t="s">
        <v>9</v>
      </c>
      <c r="F61" s="128" t="s">
        <v>88</v>
      </c>
      <c r="G61" s="128"/>
      <c r="H61" s="128"/>
      <c r="I61" s="128"/>
      <c r="J61" s="10" t="s">
        <v>10</v>
      </c>
      <c r="K61" s="10" t="s">
        <v>84</v>
      </c>
      <c r="L61" s="10" t="s">
        <v>49</v>
      </c>
    </row>
    <row r="62" spans="1:12" ht="12.75">
      <c r="A62" s="35"/>
      <c r="E62" s="8" t="s">
        <v>17</v>
      </c>
      <c r="F62" s="8" t="s">
        <v>89</v>
      </c>
      <c r="G62" s="53" t="s">
        <v>90</v>
      </c>
      <c r="H62" s="36"/>
      <c r="I62" s="8" t="s">
        <v>91</v>
      </c>
      <c r="J62" s="8" t="s">
        <v>19</v>
      </c>
      <c r="K62" s="8" t="s">
        <v>85</v>
      </c>
      <c r="L62" s="8" t="s">
        <v>50</v>
      </c>
    </row>
    <row r="63" spans="2:12" ht="12.75">
      <c r="B63" s="39" t="s">
        <v>35</v>
      </c>
      <c r="C63" s="39"/>
      <c r="D63" s="39"/>
      <c r="E63" s="54">
        <v>0.41</v>
      </c>
      <c r="F63" s="54">
        <v>0.25</v>
      </c>
      <c r="G63" s="55">
        <v>0.0875</v>
      </c>
      <c r="H63" s="56"/>
      <c r="I63" s="54">
        <v>0.0125</v>
      </c>
      <c r="J63" s="54">
        <v>0.1</v>
      </c>
      <c r="K63" s="54">
        <v>0.1</v>
      </c>
      <c r="L63" s="54">
        <v>0.04</v>
      </c>
    </row>
    <row r="64" spans="2:12" ht="12.75">
      <c r="B64" s="39" t="s">
        <v>58</v>
      </c>
      <c r="C64" s="39"/>
      <c r="D64" s="39"/>
      <c r="E64" s="54">
        <v>0.48</v>
      </c>
      <c r="F64" s="54">
        <v>0.18</v>
      </c>
      <c r="G64" s="55">
        <v>0.0875</v>
      </c>
      <c r="H64" s="56"/>
      <c r="I64" s="54">
        <v>0.0125</v>
      </c>
      <c r="J64" s="54">
        <v>0.1</v>
      </c>
      <c r="K64" s="54">
        <v>0.1</v>
      </c>
      <c r="L64" s="54">
        <v>0.04</v>
      </c>
    </row>
    <row r="65" spans="2:12" ht="12.75">
      <c r="B65" s="39" t="s">
        <v>107</v>
      </c>
      <c r="C65" s="39"/>
      <c r="D65" s="39"/>
      <c r="E65" s="54">
        <v>0.52</v>
      </c>
      <c r="F65" s="54">
        <v>0.18</v>
      </c>
      <c r="G65" s="55">
        <v>0.0875</v>
      </c>
      <c r="H65" s="56"/>
      <c r="I65" s="54">
        <v>0.0125</v>
      </c>
      <c r="J65" s="54">
        <v>0.1</v>
      </c>
      <c r="K65" s="54">
        <v>0.1</v>
      </c>
      <c r="L65" s="54">
        <v>0</v>
      </c>
    </row>
    <row r="66" spans="2:12" ht="12.75">
      <c r="B66" s="39" t="s">
        <v>38</v>
      </c>
      <c r="C66" s="39"/>
      <c r="D66" s="39"/>
      <c r="E66" s="54">
        <v>0.55</v>
      </c>
      <c r="F66" s="54">
        <v>0.15</v>
      </c>
      <c r="G66" s="55">
        <v>0.0875</v>
      </c>
      <c r="H66" s="56"/>
      <c r="I66" s="54">
        <v>0.0125</v>
      </c>
      <c r="J66" s="54">
        <v>0.1</v>
      </c>
      <c r="K66" s="54">
        <v>0.1</v>
      </c>
      <c r="L66" s="54">
        <v>0</v>
      </c>
    </row>
    <row r="67" spans="2:12" ht="12.75">
      <c r="B67" s="39"/>
      <c r="C67" s="39"/>
      <c r="D67" s="39"/>
      <c r="E67" s="26"/>
      <c r="F67" s="27"/>
      <c r="G67" s="40"/>
      <c r="H67" s="26"/>
      <c r="I67" s="40"/>
      <c r="J67" s="40"/>
      <c r="K67" s="40"/>
      <c r="L67" s="40"/>
    </row>
    <row r="68" spans="1:13" s="23" customFormat="1" ht="12.75">
      <c r="A68" s="132" t="s">
        <v>43</v>
      </c>
      <c r="B68" s="133"/>
      <c r="C68" s="133"/>
      <c r="D68" s="133"/>
      <c r="E68" s="133"/>
      <c r="F68" s="133"/>
      <c r="G68" s="133"/>
      <c r="H68" s="133"/>
      <c r="I68" s="133"/>
      <c r="J68" s="133"/>
      <c r="K68" s="133"/>
      <c r="L68" s="133"/>
      <c r="M68" s="134"/>
    </row>
    <row r="69" spans="1:6" ht="9" customHeight="1">
      <c r="A69" s="24"/>
      <c r="E69"/>
      <c r="F69" s="16"/>
    </row>
    <row r="70" spans="1:13" ht="52.5" customHeight="1">
      <c r="A70" s="121" t="s">
        <v>109</v>
      </c>
      <c r="B70" s="135"/>
      <c r="C70" s="135"/>
      <c r="D70" s="135"/>
      <c r="E70" s="135"/>
      <c r="F70" s="135"/>
      <c r="G70" s="135"/>
      <c r="H70" s="135"/>
      <c r="I70" s="135"/>
      <c r="J70" s="135"/>
      <c r="K70" s="135"/>
      <c r="L70" s="135"/>
      <c r="M70" s="135"/>
    </row>
    <row r="71" spans="1:6" ht="12.75">
      <c r="A71" s="16"/>
      <c r="E71"/>
      <c r="F71" s="16"/>
    </row>
    <row r="72" spans="2:5" ht="12.75">
      <c r="B72" s="24" t="s">
        <v>44</v>
      </c>
      <c r="C72" s="24"/>
      <c r="D72" s="24"/>
      <c r="E72" s="16">
        <v>440789</v>
      </c>
    </row>
    <row r="73" spans="2:5" ht="12.75">
      <c r="B73" s="24" t="s">
        <v>45</v>
      </c>
      <c r="C73" s="24"/>
      <c r="D73" s="24"/>
      <c r="E73" s="16">
        <v>160388</v>
      </c>
    </row>
    <row r="74" spans="2:5" ht="12.75">
      <c r="B74" s="16" t="s">
        <v>46</v>
      </c>
      <c r="E74" s="16">
        <v>200392</v>
      </c>
    </row>
    <row r="75" ht="12.75">
      <c r="E75" s="16" t="s">
        <v>39</v>
      </c>
    </row>
    <row r="76" ht="12.75">
      <c r="A76" s="28" t="s">
        <v>98</v>
      </c>
    </row>
  </sheetData>
  <sheetProtection/>
  <mergeCells count="12">
    <mergeCell ref="I10:M10"/>
    <mergeCell ref="A31:M31"/>
    <mergeCell ref="A59:M59"/>
    <mergeCell ref="F61:I61"/>
    <mergeCell ref="A68:M68"/>
    <mergeCell ref="A70:M70"/>
    <mergeCell ref="A1:M1"/>
    <mergeCell ref="A2:M2"/>
    <mergeCell ref="A3:M3"/>
    <mergeCell ref="A4:M4"/>
    <mergeCell ref="A5:M5"/>
    <mergeCell ref="A8:M8"/>
  </mergeCells>
  <hyperlinks>
    <hyperlink ref="A4" r:id="rId1" display="www.batavia-downs.com"/>
  </hyperlinks>
  <printOptions/>
  <pageMargins left="0.25" right="0.25" top="0.75" bottom="0.5" header="0.5" footer="0.5"/>
  <pageSetup fitToHeight="1" fitToWidth="1" horizontalDpi="600" verticalDpi="600" orientation="portrait" scale="70" r:id="rId3"/>
  <drawing r:id="rId2"/>
</worksheet>
</file>

<file path=xl/worksheets/sheet11.xml><?xml version="1.0" encoding="utf-8"?>
<worksheet xmlns="http://schemas.openxmlformats.org/spreadsheetml/2006/main" xmlns:r="http://schemas.openxmlformats.org/officeDocument/2006/relationships">
  <sheetPr>
    <pageSetUpPr fitToPage="1"/>
  </sheetPr>
  <dimension ref="A1:M77"/>
  <sheetViews>
    <sheetView zoomScalePageLayoutView="0" workbookViewId="0" topLeftCell="A1">
      <selection activeCell="B28" sqref="B28"/>
    </sheetView>
  </sheetViews>
  <sheetFormatPr defaultColWidth="9.140625" defaultRowHeight="12.75"/>
  <cols>
    <col min="1" max="1" width="9.28125" style="3" customWidth="1"/>
    <col min="2" max="3" width="13.140625" style="16" customWidth="1"/>
    <col min="4" max="4" width="13.7109375" style="16" customWidth="1"/>
    <col min="5" max="5" width="12.7109375" style="16" customWidth="1"/>
    <col min="6" max="6" width="8.8515625" style="17" customWidth="1"/>
    <col min="7" max="7" width="10.28125" style="16" customWidth="1"/>
    <col min="8" max="8" width="1.421875" style="16" customWidth="1"/>
    <col min="9" max="9" width="12.421875" style="16" customWidth="1"/>
    <col min="10" max="10" width="12.8515625" style="16" customWidth="1"/>
    <col min="11" max="12" width="13.7109375" style="16" customWidth="1"/>
    <col min="13" max="13" width="13.28125" style="16" customWidth="1"/>
    <col min="14" max="14" width="12.7109375" style="0" customWidth="1"/>
  </cols>
  <sheetData>
    <row r="1" spans="1:13" ht="18">
      <c r="A1" s="136" t="s">
        <v>100</v>
      </c>
      <c r="B1" s="136"/>
      <c r="C1" s="136"/>
      <c r="D1" s="136"/>
      <c r="E1" s="136"/>
      <c r="F1" s="136"/>
      <c r="G1" s="136"/>
      <c r="H1" s="136"/>
      <c r="I1" s="136"/>
      <c r="J1" s="136"/>
      <c r="K1" s="136"/>
      <c r="L1" s="136"/>
      <c r="M1" s="136"/>
    </row>
    <row r="2" spans="1:13" ht="15">
      <c r="A2" s="137" t="s">
        <v>0</v>
      </c>
      <c r="B2" s="137"/>
      <c r="C2" s="137"/>
      <c r="D2" s="137"/>
      <c r="E2" s="137"/>
      <c r="F2" s="137"/>
      <c r="G2" s="137"/>
      <c r="H2" s="137"/>
      <c r="I2" s="137"/>
      <c r="J2" s="137"/>
      <c r="K2" s="137"/>
      <c r="L2" s="137"/>
      <c r="M2" s="137"/>
    </row>
    <row r="3" spans="1:13" s="1" customFormat="1" ht="15">
      <c r="A3" s="137" t="s">
        <v>1</v>
      </c>
      <c r="B3" s="137"/>
      <c r="C3" s="137"/>
      <c r="D3" s="137"/>
      <c r="E3" s="137"/>
      <c r="F3" s="137"/>
      <c r="G3" s="137"/>
      <c r="H3" s="137"/>
      <c r="I3" s="137"/>
      <c r="J3" s="137"/>
      <c r="K3" s="137"/>
      <c r="L3" s="137"/>
      <c r="M3" s="137"/>
    </row>
    <row r="4" spans="1:13" s="1" customFormat="1" ht="14.25">
      <c r="A4" s="124" t="s">
        <v>2</v>
      </c>
      <c r="B4" s="124"/>
      <c r="C4" s="124"/>
      <c r="D4" s="124"/>
      <c r="E4" s="124"/>
      <c r="F4" s="124"/>
      <c r="G4" s="124"/>
      <c r="H4" s="124"/>
      <c r="I4" s="124"/>
      <c r="J4" s="124"/>
      <c r="K4" s="124"/>
      <c r="L4" s="124"/>
      <c r="M4" s="124"/>
    </row>
    <row r="5" spans="1:13" s="1" customFormat="1" ht="14.25">
      <c r="A5" s="138" t="s">
        <v>3</v>
      </c>
      <c r="B5" s="138"/>
      <c r="C5" s="138"/>
      <c r="D5" s="138"/>
      <c r="E5" s="138"/>
      <c r="F5" s="138"/>
      <c r="G5" s="138"/>
      <c r="H5" s="138"/>
      <c r="I5" s="138"/>
      <c r="J5" s="138"/>
      <c r="K5" s="138"/>
      <c r="L5" s="138"/>
      <c r="M5" s="138"/>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129" t="s">
        <v>99</v>
      </c>
      <c r="B8" s="130"/>
      <c r="C8" s="130"/>
      <c r="D8" s="130"/>
      <c r="E8" s="130"/>
      <c r="F8" s="130"/>
      <c r="G8" s="130"/>
      <c r="H8" s="130"/>
      <c r="I8" s="130"/>
      <c r="J8" s="130"/>
      <c r="K8" s="130"/>
      <c r="L8" s="130"/>
      <c r="M8" s="131"/>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128" t="s">
        <v>5</v>
      </c>
      <c r="J10" s="128"/>
      <c r="K10" s="128"/>
      <c r="L10" s="128"/>
      <c r="M10" s="128"/>
    </row>
    <row r="11" spans="1:13" s="1" customFormat="1" ht="12.75">
      <c r="A11" s="3"/>
      <c r="B11" s="5"/>
      <c r="C11" s="5"/>
      <c r="D11" s="5"/>
      <c r="E11" s="5"/>
      <c r="F11" s="6"/>
      <c r="G11" s="5"/>
      <c r="H11" s="5"/>
      <c r="I11" s="5"/>
      <c r="J11" s="5"/>
      <c r="K11" s="5"/>
      <c r="L11" s="5"/>
      <c r="M11" s="5"/>
    </row>
    <row r="12" spans="1:13" s="12" customFormat="1" ht="12">
      <c r="A12" s="9"/>
      <c r="B12" s="10" t="s">
        <v>6</v>
      </c>
      <c r="C12" s="10" t="s">
        <v>72</v>
      </c>
      <c r="D12" s="10" t="s">
        <v>6</v>
      </c>
      <c r="E12" s="10"/>
      <c r="F12" s="11" t="s">
        <v>7</v>
      </c>
      <c r="G12" s="10" t="s">
        <v>8</v>
      </c>
      <c r="H12" s="10"/>
      <c r="I12" s="10" t="s">
        <v>9</v>
      </c>
      <c r="J12" s="10" t="s">
        <v>83</v>
      </c>
      <c r="K12" s="10" t="s">
        <v>10</v>
      </c>
      <c r="L12" s="10" t="s">
        <v>84</v>
      </c>
      <c r="M12" s="10" t="s">
        <v>49</v>
      </c>
    </row>
    <row r="13" spans="1:13" s="12" customFormat="1" ht="12">
      <c r="A13" s="13" t="s">
        <v>11</v>
      </c>
      <c r="B13" s="8" t="s">
        <v>12</v>
      </c>
      <c r="C13" s="8" t="s">
        <v>19</v>
      </c>
      <c r="D13" s="8" t="s">
        <v>13</v>
      </c>
      <c r="E13" s="8" t="s">
        <v>14</v>
      </c>
      <c r="F13" s="14" t="s">
        <v>15</v>
      </c>
      <c r="G13" s="8" t="s">
        <v>16</v>
      </c>
      <c r="H13" s="15"/>
      <c r="I13" s="8" t="s">
        <v>17</v>
      </c>
      <c r="J13" s="8" t="s">
        <v>18</v>
      </c>
      <c r="K13" s="8" t="s">
        <v>19</v>
      </c>
      <c r="L13" s="8" t="s">
        <v>85</v>
      </c>
      <c r="M13" s="8" t="s">
        <v>50</v>
      </c>
    </row>
    <row r="15" spans="1:13" ht="12.75">
      <c r="A15" s="3">
        <v>41365</v>
      </c>
      <c r="B15" s="16">
        <v>47504049.42</v>
      </c>
      <c r="C15" s="16">
        <f>378900.74-24027.99</f>
        <v>354872.75</v>
      </c>
      <c r="D15" s="16">
        <f aca="true" t="shared" si="0" ref="D15:D26">+B15-C15-E15</f>
        <v>43287175.21</v>
      </c>
      <c r="E15" s="16">
        <v>3862001.46</v>
      </c>
      <c r="F15" s="17">
        <v>640</v>
      </c>
      <c r="G15" s="16">
        <f>E15/F15/30</f>
        <v>201.145909375</v>
      </c>
      <c r="I15" s="16">
        <v>1583420.6</v>
      </c>
      <c r="J15" s="16">
        <v>1351700.5</v>
      </c>
      <c r="K15" s="16">
        <v>386200.15</v>
      </c>
      <c r="L15" s="16">
        <v>386200.15</v>
      </c>
      <c r="M15" s="16">
        <v>154480.08</v>
      </c>
    </row>
    <row r="16" spans="1:13" ht="12.75">
      <c r="A16" s="3">
        <v>41395</v>
      </c>
      <c r="B16" s="16">
        <v>50553912.8</v>
      </c>
      <c r="C16" s="16">
        <f>402454.71-27601.96</f>
        <v>374852.75</v>
      </c>
      <c r="D16" s="16">
        <f t="shared" si="0"/>
        <v>45953868.39</v>
      </c>
      <c r="E16" s="16">
        <v>4225191.66</v>
      </c>
      <c r="F16" s="17">
        <v>640</v>
      </c>
      <c r="G16" s="16">
        <f>E16/F16/31</f>
        <v>212.96328931451615</v>
      </c>
      <c r="I16" s="16">
        <v>1732328.57</v>
      </c>
      <c r="J16" s="16">
        <v>1478817.06</v>
      </c>
      <c r="K16" s="16">
        <v>422519.16</v>
      </c>
      <c r="L16" s="16">
        <v>422519.16</v>
      </c>
      <c r="M16" s="16">
        <v>169007.64</v>
      </c>
    </row>
    <row r="17" spans="1:13" ht="12.75">
      <c r="A17" s="3">
        <v>41426</v>
      </c>
      <c r="B17" s="16">
        <v>48216290.2</v>
      </c>
      <c r="C17" s="16">
        <f>411832.56-26189.3</f>
        <v>385643.26</v>
      </c>
      <c r="D17" s="16">
        <f t="shared" si="0"/>
        <v>44032876.38</v>
      </c>
      <c r="E17" s="16">
        <v>3797770.56</v>
      </c>
      <c r="F17" s="17">
        <v>640</v>
      </c>
      <c r="G17" s="16">
        <f>E17/F17/30</f>
        <v>197.80055</v>
      </c>
      <c r="I17" s="16">
        <v>1557085.97</v>
      </c>
      <c r="J17" s="16">
        <v>1329219.7</v>
      </c>
      <c r="K17" s="16">
        <v>379777.06</v>
      </c>
      <c r="L17" s="16">
        <v>379777.05</v>
      </c>
      <c r="M17" s="16">
        <v>151910.84</v>
      </c>
    </row>
    <row r="18" spans="1:13" ht="12.75">
      <c r="A18" s="3">
        <v>41456</v>
      </c>
      <c r="B18" s="16">
        <v>48255174.58</v>
      </c>
      <c r="C18" s="16">
        <f>479603.88-30896</f>
        <v>448707.88</v>
      </c>
      <c r="D18" s="16">
        <f t="shared" si="0"/>
        <v>43841799.55</v>
      </c>
      <c r="E18" s="16">
        <v>3964667.15</v>
      </c>
      <c r="F18" s="17">
        <v>640</v>
      </c>
      <c r="G18" s="16">
        <f>E18/F18/31</f>
        <v>199.83201360887094</v>
      </c>
      <c r="I18" s="16">
        <v>1625513.51</v>
      </c>
      <c r="J18" s="16">
        <v>1387633.49</v>
      </c>
      <c r="K18" s="16">
        <v>396466.7</v>
      </c>
      <c r="L18" s="16">
        <v>396466.7</v>
      </c>
      <c r="M18" s="16">
        <v>158586.71</v>
      </c>
    </row>
    <row r="19" spans="1:13" ht="12.75">
      <c r="A19" s="3">
        <v>41487</v>
      </c>
      <c r="B19" s="16">
        <v>50923385.87</v>
      </c>
      <c r="C19" s="16">
        <f>414691.29-32764</f>
        <v>381927.29</v>
      </c>
      <c r="D19" s="16">
        <f t="shared" si="0"/>
        <v>46358665.73</v>
      </c>
      <c r="E19" s="16">
        <v>4182792.85</v>
      </c>
      <c r="F19" s="17">
        <v>640</v>
      </c>
      <c r="G19" s="16">
        <f>E19/F19/31</f>
        <v>210.82625252016132</v>
      </c>
      <c r="I19" s="16">
        <v>1714945.06</v>
      </c>
      <c r="J19" s="16">
        <v>1463977.5</v>
      </c>
      <c r="K19" s="16">
        <v>418279.32</v>
      </c>
      <c r="L19" s="16">
        <v>418279.32</v>
      </c>
      <c r="M19" s="16">
        <v>167311.72</v>
      </c>
    </row>
    <row r="20" spans="1:13" ht="12.75">
      <c r="A20" s="3">
        <v>41518</v>
      </c>
      <c r="B20" s="16">
        <v>44053325.58</v>
      </c>
      <c r="C20" s="16">
        <f>415737.73-55085.04</f>
        <v>360652.69</v>
      </c>
      <c r="D20" s="16">
        <f t="shared" si="0"/>
        <v>40061804.230000004</v>
      </c>
      <c r="E20" s="16">
        <v>3630868.66</v>
      </c>
      <c r="F20" s="17">
        <v>618.6666666666666</v>
      </c>
      <c r="G20" s="16">
        <f>E20/F20/30</f>
        <v>195.6286993534483</v>
      </c>
      <c r="I20" s="16">
        <v>1488656.16</v>
      </c>
      <c r="J20" s="16">
        <v>1270804.05</v>
      </c>
      <c r="K20" s="16">
        <v>363086.87</v>
      </c>
      <c r="L20" s="16">
        <v>363086.87</v>
      </c>
      <c r="M20" s="16">
        <v>145234.74</v>
      </c>
    </row>
    <row r="21" spans="1:13" ht="12.75">
      <c r="A21" s="3">
        <v>41548</v>
      </c>
      <c r="B21" s="16">
        <v>56085888.73</v>
      </c>
      <c r="C21" s="16">
        <v>520807.1</v>
      </c>
      <c r="D21" s="16">
        <f t="shared" si="0"/>
        <v>50981922.779999994</v>
      </c>
      <c r="E21" s="16">
        <v>4583158.85</v>
      </c>
      <c r="F21" s="17">
        <v>709.0322580645161</v>
      </c>
      <c r="G21" s="16">
        <f>E21/F21/31</f>
        <v>208.5149613284804</v>
      </c>
      <c r="I21" s="16">
        <v>1879095.11</v>
      </c>
      <c r="J21" s="16">
        <v>1604105.61</v>
      </c>
      <c r="K21" s="16">
        <v>458315.92</v>
      </c>
      <c r="L21" s="16">
        <v>458315.92</v>
      </c>
      <c r="M21" s="16">
        <v>183326.36</v>
      </c>
    </row>
    <row r="22" spans="1:13" ht="12.75">
      <c r="A22" s="3">
        <v>41579</v>
      </c>
      <c r="B22" s="16">
        <v>47398339.08</v>
      </c>
      <c r="C22" s="16">
        <f>471884.22-27283.55</f>
        <v>444600.67</v>
      </c>
      <c r="D22" s="16">
        <f t="shared" si="0"/>
        <v>43160161.239999995</v>
      </c>
      <c r="E22" s="16">
        <v>3793577.17</v>
      </c>
      <c r="F22" s="17">
        <v>758.8333333333334</v>
      </c>
      <c r="G22" s="16">
        <f>E22/F22/30</f>
        <v>166.64077179881397</v>
      </c>
      <c r="I22" s="16">
        <v>1555366.64</v>
      </c>
      <c r="J22" s="16">
        <v>1327752.04</v>
      </c>
      <c r="K22" s="16">
        <v>379357.7</v>
      </c>
      <c r="L22" s="16">
        <v>379357.69</v>
      </c>
      <c r="M22" s="16">
        <v>151743.08</v>
      </c>
    </row>
    <row r="23" spans="1:13" ht="12.75">
      <c r="A23" s="3">
        <v>41609</v>
      </c>
      <c r="B23" s="16">
        <v>42409264.62</v>
      </c>
      <c r="C23" s="16">
        <f>451692.14-34532.2</f>
        <v>417159.94</v>
      </c>
      <c r="D23" s="16">
        <f t="shared" si="0"/>
        <v>38566194.41</v>
      </c>
      <c r="E23" s="16">
        <v>3425910.27</v>
      </c>
      <c r="F23" s="17">
        <v>785</v>
      </c>
      <c r="G23" s="16">
        <f>E23/F23/31</f>
        <v>140.78119046640643</v>
      </c>
      <c r="I23" s="16">
        <v>1404623.19</v>
      </c>
      <c r="J23" s="16">
        <v>1199068.57</v>
      </c>
      <c r="K23" s="16">
        <v>342591.07</v>
      </c>
      <c r="L23" s="16">
        <v>342591.07</v>
      </c>
      <c r="M23" s="16">
        <v>137036.41</v>
      </c>
    </row>
    <row r="24" spans="1:13" ht="12.75">
      <c r="A24" s="3">
        <v>41640</v>
      </c>
      <c r="B24" s="16">
        <v>40145454.37</v>
      </c>
      <c r="C24" s="16">
        <f>397615.02-27394.8</f>
        <v>370220.22000000003</v>
      </c>
      <c r="D24" s="16">
        <f t="shared" si="0"/>
        <v>36468408.08</v>
      </c>
      <c r="E24" s="16">
        <v>3306826.07</v>
      </c>
      <c r="F24" s="17">
        <v>786.0645161290323</v>
      </c>
      <c r="G24" s="16">
        <f>E24/F24/31</f>
        <v>135.70363058108993</v>
      </c>
      <c r="I24" s="16">
        <v>1355798.7</v>
      </c>
      <c r="J24" s="16">
        <v>1157389.11</v>
      </c>
      <c r="K24" s="16">
        <v>330682.62</v>
      </c>
      <c r="L24" s="16">
        <v>330682.62</v>
      </c>
      <c r="M24" s="16">
        <v>132273.05</v>
      </c>
    </row>
    <row r="25" spans="1:13" ht="12.75">
      <c r="A25" s="3">
        <v>41671</v>
      </c>
      <c r="B25" s="16">
        <v>48885178.42</v>
      </c>
      <c r="C25" s="16">
        <f>526032.7-44457.7</f>
        <v>481574.99999999994</v>
      </c>
      <c r="D25" s="16">
        <f t="shared" si="0"/>
        <v>44502653.370000005</v>
      </c>
      <c r="E25" s="16">
        <v>3900950.05</v>
      </c>
      <c r="F25" s="17">
        <v>788</v>
      </c>
      <c r="G25" s="16">
        <f>E25/F25/28</f>
        <v>176.80157949601158</v>
      </c>
      <c r="I25" s="16">
        <v>1599389.52</v>
      </c>
      <c r="J25" s="16">
        <v>1365332.53</v>
      </c>
      <c r="K25" s="16">
        <v>390095.04</v>
      </c>
      <c r="L25" s="16">
        <v>390095.04</v>
      </c>
      <c r="M25" s="16">
        <v>156038.01</v>
      </c>
    </row>
    <row r="26" spans="1:13" ht="12.75">
      <c r="A26" s="3">
        <v>41699</v>
      </c>
      <c r="B26" s="16">
        <v>54615484.49</v>
      </c>
      <c r="C26" s="16">
        <f>479667.85-36042</f>
        <v>443625.85</v>
      </c>
      <c r="D26" s="16">
        <f t="shared" si="0"/>
        <v>49765493.21</v>
      </c>
      <c r="E26" s="16">
        <v>4406365.43</v>
      </c>
      <c r="F26" s="17">
        <v>788</v>
      </c>
      <c r="G26" s="16">
        <f>E26/F26/31</f>
        <v>180.38175167840183</v>
      </c>
      <c r="I26" s="16">
        <v>1806609.81</v>
      </c>
      <c r="J26" s="16">
        <v>1542227.9</v>
      </c>
      <c r="K26" s="16">
        <v>440636.57</v>
      </c>
      <c r="L26" s="16">
        <v>440636.57</v>
      </c>
      <c r="M26" s="16">
        <v>176254.61</v>
      </c>
    </row>
    <row r="27" spans="1:13" ht="13.5" thickBot="1">
      <c r="A27" s="3" t="s">
        <v>20</v>
      </c>
      <c r="B27" s="18">
        <f>SUM(B15:B26)</f>
        <v>579045748.16</v>
      </c>
      <c r="C27" s="18">
        <f>SUM(C15:C26)</f>
        <v>4984645.399999999</v>
      </c>
      <c r="D27" s="18">
        <f>SUM(D15:D26)</f>
        <v>526981022.5799999</v>
      </c>
      <c r="E27" s="18">
        <f>SUM(E15:E26)</f>
        <v>47080080.18</v>
      </c>
      <c r="I27" s="18">
        <f>SUM(I15:I26)</f>
        <v>19302832.839999996</v>
      </c>
      <c r="J27" s="18">
        <f>SUM(J15:J26)</f>
        <v>16478028.059999999</v>
      </c>
      <c r="K27" s="18">
        <f>SUM(K15:K26)</f>
        <v>4708008.180000001</v>
      </c>
      <c r="L27" s="18">
        <f>SUM(L15:L26)</f>
        <v>4708008.16</v>
      </c>
      <c r="M27" s="18">
        <f>SUM(M15:M26)</f>
        <v>1883203.25</v>
      </c>
    </row>
    <row r="28" spans="2:13" ht="10.5" customHeight="1" thickTop="1">
      <c r="B28" s="19"/>
      <c r="C28" s="19"/>
      <c r="D28" s="19"/>
      <c r="E28" s="19"/>
      <c r="I28" s="19"/>
      <c r="J28" s="19"/>
      <c r="K28" s="19"/>
      <c r="L28" s="19"/>
      <c r="M28" s="19"/>
    </row>
    <row r="29" spans="1:13" s="22" customFormat="1" ht="12.75">
      <c r="A29" s="20"/>
      <c r="B29" s="21"/>
      <c r="C29" s="21">
        <f>C27/B27</f>
        <v>0.008608379244367855</v>
      </c>
      <c r="D29" s="21">
        <f>D27/B27</f>
        <v>0.910085298535663</v>
      </c>
      <c r="E29" s="21">
        <f>E27/B27</f>
        <v>0.08130632221996903</v>
      </c>
      <c r="I29" s="21">
        <f>I27/$E$27</f>
        <v>0.4099999992820742</v>
      </c>
      <c r="J29" s="21">
        <f>J27/$E$27</f>
        <v>0.3499999999362788</v>
      </c>
      <c r="K29" s="21">
        <f>K27/$E$27</f>
        <v>0.10000000344094573</v>
      </c>
      <c r="L29" s="21">
        <f>L27/$E$27</f>
        <v>0.10000000301613761</v>
      </c>
      <c r="M29" s="21">
        <f>M27/$E$27</f>
        <v>0.04000000090908936</v>
      </c>
    </row>
    <row r="31" spans="1:13" s="23" customFormat="1" ht="12.75">
      <c r="A31" s="129" t="s">
        <v>21</v>
      </c>
      <c r="B31" s="130"/>
      <c r="C31" s="130"/>
      <c r="D31" s="130"/>
      <c r="E31" s="130"/>
      <c r="F31" s="130"/>
      <c r="G31" s="130"/>
      <c r="H31" s="130"/>
      <c r="I31" s="130"/>
      <c r="J31" s="130"/>
      <c r="K31" s="130"/>
      <c r="L31" s="130"/>
      <c r="M31" s="131"/>
    </row>
    <row r="32" ht="12.75">
      <c r="A32" s="24"/>
    </row>
    <row r="33" spans="1:12" s="49" customFormat="1" ht="12.75" customHeight="1">
      <c r="A33" s="45" t="s">
        <v>22</v>
      </c>
      <c r="B33" s="46"/>
      <c r="C33" s="57" t="s">
        <v>94</v>
      </c>
      <c r="D33" s="58"/>
      <c r="E33" s="58"/>
      <c r="F33" s="58"/>
      <c r="G33" s="58"/>
      <c r="H33" s="58"/>
      <c r="I33" s="58"/>
      <c r="J33" s="58"/>
      <c r="K33" s="58"/>
      <c r="L33" s="58"/>
    </row>
    <row r="34" spans="1:12" s="49" customFormat="1" ht="12.75" customHeight="1">
      <c r="A34" s="45"/>
      <c r="B34" s="46"/>
      <c r="C34" s="57" t="s">
        <v>95</v>
      </c>
      <c r="D34" s="58"/>
      <c r="E34" s="58"/>
      <c r="F34" s="58"/>
      <c r="G34" s="58"/>
      <c r="H34" s="58"/>
      <c r="I34" s="58"/>
      <c r="J34" s="58"/>
      <c r="K34" s="58"/>
      <c r="L34" s="58"/>
    </row>
    <row r="35" spans="1:13" ht="6" customHeight="1">
      <c r="A35" s="25"/>
      <c r="B35" s="26"/>
      <c r="C35" s="26"/>
      <c r="D35" s="43"/>
      <c r="E35" s="43"/>
      <c r="F35" s="43"/>
      <c r="G35" s="43"/>
      <c r="H35" s="43"/>
      <c r="I35" s="43"/>
      <c r="J35" s="43"/>
      <c r="K35" s="43"/>
      <c r="L35" s="43"/>
      <c r="M35"/>
    </row>
    <row r="36" spans="1:13" ht="12.75">
      <c r="A36" s="25" t="s">
        <v>97</v>
      </c>
      <c r="B36" s="26"/>
      <c r="C36" s="26" t="s">
        <v>87</v>
      </c>
      <c r="F36" s="26"/>
      <c r="G36" s="26"/>
      <c r="H36" s="26"/>
      <c r="I36" s="26"/>
      <c r="J36" s="26"/>
      <c r="K36" s="26"/>
      <c r="L36" s="26"/>
      <c r="M36" s="26"/>
    </row>
    <row r="37" spans="1:13" ht="6" customHeight="1">
      <c r="A37" s="25"/>
      <c r="B37" s="26"/>
      <c r="C37" s="26"/>
      <c r="D37" s="26"/>
      <c r="F37" s="26"/>
      <c r="G37" s="26"/>
      <c r="H37" s="26"/>
      <c r="I37" s="26"/>
      <c r="J37" s="26"/>
      <c r="K37" s="26"/>
      <c r="L37" s="26"/>
      <c r="M37" s="26"/>
    </row>
    <row r="38" spans="1:13" ht="12.75">
      <c r="A38" s="25" t="s">
        <v>23</v>
      </c>
      <c r="B38" s="26"/>
      <c r="C38" s="57" t="s">
        <v>101</v>
      </c>
      <c r="F38" s="26"/>
      <c r="G38" s="26"/>
      <c r="H38" s="26"/>
      <c r="I38" s="26"/>
      <c r="J38" s="26"/>
      <c r="K38" s="26"/>
      <c r="L38" s="26"/>
      <c r="M38" s="26"/>
    </row>
    <row r="39" spans="1:13" ht="6" customHeight="1">
      <c r="A39" s="25"/>
      <c r="B39" s="26"/>
      <c r="C39" s="26"/>
      <c r="F39" s="26"/>
      <c r="G39" s="26"/>
      <c r="H39" s="26"/>
      <c r="I39" s="26"/>
      <c r="J39" s="26"/>
      <c r="K39" s="26"/>
      <c r="L39" s="26"/>
      <c r="M39" s="26"/>
    </row>
    <row r="40" spans="1:13" ht="12.75">
      <c r="A40" s="25" t="s">
        <v>25</v>
      </c>
      <c r="B40" s="26"/>
      <c r="C40" s="26" t="s">
        <v>64</v>
      </c>
      <c r="F40" s="27"/>
      <c r="G40" s="26"/>
      <c r="H40" s="26"/>
      <c r="I40" s="26"/>
      <c r="J40" s="26"/>
      <c r="K40" s="26"/>
      <c r="L40" s="26"/>
      <c r="M40" s="26"/>
    </row>
    <row r="41" spans="1:13" ht="12.75">
      <c r="A41" s="25"/>
      <c r="B41" s="26"/>
      <c r="C41" s="26" t="s">
        <v>63</v>
      </c>
      <c r="F41" s="27"/>
      <c r="G41" s="26"/>
      <c r="H41" s="26"/>
      <c r="I41" s="26"/>
      <c r="J41" s="26"/>
      <c r="K41" s="26"/>
      <c r="L41" s="26"/>
      <c r="M41" s="26"/>
    </row>
    <row r="42" spans="1:13" ht="6" customHeight="1">
      <c r="A42" s="25"/>
      <c r="B42" s="26"/>
      <c r="C42" s="26"/>
      <c r="F42" s="27"/>
      <c r="G42" s="26"/>
      <c r="H42" s="26"/>
      <c r="I42" s="26"/>
      <c r="J42" s="26"/>
      <c r="K42" s="26"/>
      <c r="L42" s="26"/>
      <c r="M42" s="26"/>
    </row>
    <row r="43" spans="1:13" ht="12.75">
      <c r="A43" s="25" t="s">
        <v>28</v>
      </c>
      <c r="B43" s="26"/>
      <c r="C43" s="26" t="s">
        <v>29</v>
      </c>
      <c r="F43" s="27"/>
      <c r="G43" s="26"/>
      <c r="H43" s="26"/>
      <c r="I43" s="26"/>
      <c r="J43" s="26"/>
      <c r="K43" s="26"/>
      <c r="L43" s="26"/>
      <c r="M43" s="26"/>
    </row>
    <row r="44" spans="1:13" ht="6" customHeight="1">
      <c r="A44" s="25"/>
      <c r="B44" s="26"/>
      <c r="C44" s="26"/>
      <c r="D44" s="26"/>
      <c r="F44" s="27"/>
      <c r="G44" s="26"/>
      <c r="H44" s="26"/>
      <c r="I44" s="26"/>
      <c r="J44" s="26"/>
      <c r="K44" s="26"/>
      <c r="L44" s="26"/>
      <c r="M44" s="26"/>
    </row>
    <row r="45" spans="1:12" s="49" customFormat="1" ht="12.75">
      <c r="A45" s="45" t="s">
        <v>74</v>
      </c>
      <c r="B45" s="46"/>
      <c r="C45" s="46" t="s">
        <v>75</v>
      </c>
      <c r="D45" s="47"/>
      <c r="E45" s="48"/>
      <c r="F45" s="46"/>
      <c r="G45" s="46"/>
      <c r="H45" s="46"/>
      <c r="I45" s="46"/>
      <c r="J45" s="46"/>
      <c r="K45" s="46"/>
      <c r="L45" s="46"/>
    </row>
    <row r="46" spans="1:12" s="49" customFormat="1" ht="12.75">
      <c r="A46" s="45"/>
      <c r="B46" s="46"/>
      <c r="C46" s="46" t="s">
        <v>81</v>
      </c>
      <c r="D46" s="47"/>
      <c r="E46" s="48"/>
      <c r="F46" s="46"/>
      <c r="G46" s="46"/>
      <c r="H46" s="46"/>
      <c r="I46" s="46"/>
      <c r="J46" s="46"/>
      <c r="K46" s="46"/>
      <c r="L46" s="46"/>
    </row>
    <row r="47" spans="1:12" s="49" customFormat="1" ht="12.75">
      <c r="A47" s="45"/>
      <c r="B47" s="46"/>
      <c r="C47" s="46" t="s">
        <v>82</v>
      </c>
      <c r="D47" s="47"/>
      <c r="E47" s="48"/>
      <c r="F47" s="46"/>
      <c r="G47" s="46"/>
      <c r="H47" s="46"/>
      <c r="I47" s="46"/>
      <c r="J47" s="46"/>
      <c r="K47" s="46"/>
      <c r="L47" s="46"/>
    </row>
    <row r="48" spans="1:13" ht="6" customHeight="1">
      <c r="A48" s="25"/>
      <c r="B48" s="26"/>
      <c r="C48" s="26"/>
      <c r="D48" s="26"/>
      <c r="F48" s="27"/>
      <c r="G48" s="26"/>
      <c r="H48" s="26"/>
      <c r="I48" s="26"/>
      <c r="J48" s="26"/>
      <c r="K48" s="26"/>
      <c r="L48" s="26"/>
      <c r="M48" s="26"/>
    </row>
    <row r="49" spans="1:12" s="49" customFormat="1" ht="12.75">
      <c r="A49" s="45" t="s">
        <v>30</v>
      </c>
      <c r="B49" s="46"/>
      <c r="C49" s="46" t="s">
        <v>76</v>
      </c>
      <c r="D49" s="47"/>
      <c r="E49" s="48"/>
      <c r="F49" s="46"/>
      <c r="G49" s="46"/>
      <c r="H49" s="46"/>
      <c r="I49" s="46"/>
      <c r="J49" s="46"/>
      <c r="K49" s="46"/>
      <c r="L49" s="46"/>
    </row>
    <row r="50" spans="1:12" s="49" customFormat="1" ht="12.75">
      <c r="A50" s="45"/>
      <c r="B50" s="46"/>
      <c r="C50" s="46" t="s">
        <v>77</v>
      </c>
      <c r="D50" s="47"/>
      <c r="E50" s="48"/>
      <c r="F50" s="46"/>
      <c r="G50" s="46"/>
      <c r="H50" s="46"/>
      <c r="I50" s="46"/>
      <c r="J50" s="46"/>
      <c r="K50" s="46"/>
      <c r="L50" s="46"/>
    </row>
    <row r="51" spans="1:13" ht="6" customHeight="1">
      <c r="A51" s="25"/>
      <c r="B51" s="26"/>
      <c r="C51" s="26"/>
      <c r="D51" s="26"/>
      <c r="F51" s="27"/>
      <c r="G51" s="26"/>
      <c r="H51" s="26"/>
      <c r="I51" s="26"/>
      <c r="J51" s="26"/>
      <c r="K51" s="26"/>
      <c r="L51" s="26"/>
      <c r="M51" s="26"/>
    </row>
    <row r="52" spans="1:12" s="49" customFormat="1" ht="12.75">
      <c r="A52" s="45" t="s">
        <v>86</v>
      </c>
      <c r="B52" s="46"/>
      <c r="C52" s="46" t="s">
        <v>79</v>
      </c>
      <c r="D52" s="47"/>
      <c r="E52" s="48"/>
      <c r="F52" s="46"/>
      <c r="G52" s="46"/>
      <c r="H52" s="46"/>
      <c r="I52" s="46"/>
      <c r="J52" s="46"/>
      <c r="K52" s="46"/>
      <c r="L52" s="46"/>
    </row>
    <row r="53" spans="1:12" s="49" customFormat="1" ht="12.75">
      <c r="A53" s="50"/>
      <c r="B53" s="46"/>
      <c r="C53" s="46" t="s">
        <v>80</v>
      </c>
      <c r="D53" s="47"/>
      <c r="E53" s="48"/>
      <c r="F53" s="46"/>
      <c r="G53" s="46"/>
      <c r="H53" s="46"/>
      <c r="I53" s="46"/>
      <c r="J53" s="46"/>
      <c r="K53" s="46"/>
      <c r="L53" s="46"/>
    </row>
    <row r="54" spans="1:13" ht="6" customHeight="1">
      <c r="A54" s="29"/>
      <c r="B54" s="30"/>
      <c r="C54" s="30"/>
      <c r="D54" s="30"/>
      <c r="E54" s="30"/>
      <c r="F54" s="31"/>
      <c r="G54" s="30"/>
      <c r="H54" s="30"/>
      <c r="I54" s="30"/>
      <c r="J54" s="30"/>
      <c r="K54" s="30"/>
      <c r="L54" s="30"/>
      <c r="M54" s="30"/>
    </row>
    <row r="55" spans="1:12" ht="12.75">
      <c r="A55" s="25" t="s">
        <v>51</v>
      </c>
      <c r="B55" s="26"/>
      <c r="C55" s="26" t="s">
        <v>65</v>
      </c>
      <c r="F55" s="27"/>
      <c r="G55" s="26"/>
      <c r="H55" s="26"/>
      <c r="I55" s="26"/>
      <c r="J55" s="26"/>
      <c r="K55" s="26"/>
      <c r="L55" s="26"/>
    </row>
    <row r="56" spans="1:12" ht="12.75">
      <c r="A56" s="28"/>
      <c r="B56" s="26"/>
      <c r="C56" s="26" t="s">
        <v>67</v>
      </c>
      <c r="F56" s="27"/>
      <c r="G56" s="26"/>
      <c r="H56" s="26"/>
      <c r="I56" s="26"/>
      <c r="J56" s="26"/>
      <c r="K56" s="26"/>
      <c r="L56" s="26"/>
    </row>
    <row r="57" spans="1:12" ht="12.75">
      <c r="A57" s="28"/>
      <c r="B57" s="26"/>
      <c r="C57" s="26" t="s">
        <v>66</v>
      </c>
      <c r="F57" s="27"/>
      <c r="G57" s="26"/>
      <c r="H57" s="26"/>
      <c r="I57" s="26"/>
      <c r="J57" s="26"/>
      <c r="K57" s="26"/>
      <c r="L57" s="26"/>
    </row>
    <row r="58" spans="1:13" ht="12.75">
      <c r="A58" s="29"/>
      <c r="B58" s="30"/>
      <c r="C58" s="30"/>
      <c r="D58" s="30"/>
      <c r="E58" s="30"/>
      <c r="F58" s="31"/>
      <c r="G58" s="30"/>
      <c r="H58" s="30"/>
      <c r="I58" s="30"/>
      <c r="J58" s="30"/>
      <c r="K58" s="30"/>
      <c r="L58" s="30"/>
      <c r="M58" s="30"/>
    </row>
    <row r="59" spans="1:13" s="23" customFormat="1" ht="12.75">
      <c r="A59" s="129" t="s">
        <v>31</v>
      </c>
      <c r="B59" s="130"/>
      <c r="C59" s="130"/>
      <c r="D59" s="130"/>
      <c r="E59" s="130"/>
      <c r="F59" s="130"/>
      <c r="G59" s="130"/>
      <c r="H59" s="130"/>
      <c r="I59" s="130"/>
      <c r="J59" s="130"/>
      <c r="K59" s="130"/>
      <c r="L59" s="130"/>
      <c r="M59" s="131"/>
    </row>
    <row r="60" ht="12.75">
      <c r="A60" s="24"/>
    </row>
    <row r="61" spans="1:12" ht="13.5">
      <c r="A61" s="32"/>
      <c r="E61" s="10" t="s">
        <v>9</v>
      </c>
      <c r="F61" s="128" t="s">
        <v>88</v>
      </c>
      <c r="G61" s="128"/>
      <c r="H61" s="128"/>
      <c r="I61" s="128"/>
      <c r="J61" s="10" t="s">
        <v>10</v>
      </c>
      <c r="K61" s="10" t="s">
        <v>84</v>
      </c>
      <c r="L61" s="10" t="s">
        <v>49</v>
      </c>
    </row>
    <row r="62" spans="1:12" ht="12.75">
      <c r="A62" s="35"/>
      <c r="E62" s="8" t="s">
        <v>17</v>
      </c>
      <c r="F62" s="8" t="s">
        <v>89</v>
      </c>
      <c r="G62" s="53" t="s">
        <v>90</v>
      </c>
      <c r="H62" s="36"/>
      <c r="I62" s="8" t="s">
        <v>91</v>
      </c>
      <c r="J62" s="8" t="s">
        <v>19</v>
      </c>
      <c r="K62" s="8" t="s">
        <v>85</v>
      </c>
      <c r="L62" s="8" t="s">
        <v>50</v>
      </c>
    </row>
    <row r="63" spans="2:12" ht="12.75">
      <c r="B63" s="39" t="s">
        <v>35</v>
      </c>
      <c r="C63" s="39"/>
      <c r="D63" s="39"/>
      <c r="E63" s="54">
        <v>0.41</v>
      </c>
      <c r="F63" s="54">
        <v>0.25</v>
      </c>
      <c r="G63" s="55">
        <v>0.0875</v>
      </c>
      <c r="H63" s="56"/>
      <c r="I63" s="54">
        <v>0.0125</v>
      </c>
      <c r="J63" s="54">
        <v>0.1</v>
      </c>
      <c r="K63" s="54">
        <v>0.1</v>
      </c>
      <c r="L63" s="54">
        <v>0.04</v>
      </c>
    </row>
    <row r="64" spans="2:12" ht="12.75">
      <c r="B64" s="39" t="s">
        <v>58</v>
      </c>
      <c r="C64" s="39"/>
      <c r="D64" s="39"/>
      <c r="E64" s="54">
        <v>0.48</v>
      </c>
      <c r="F64" s="54">
        <v>0.18</v>
      </c>
      <c r="G64" s="55">
        <v>0.0875</v>
      </c>
      <c r="H64" s="56"/>
      <c r="I64" s="54">
        <v>0.0125</v>
      </c>
      <c r="J64" s="54">
        <v>0.1</v>
      </c>
      <c r="K64" s="54">
        <v>0.1</v>
      </c>
      <c r="L64" s="54">
        <v>0.04</v>
      </c>
    </row>
    <row r="65" spans="2:12" ht="12.75">
      <c r="B65" s="39" t="s">
        <v>59</v>
      </c>
      <c r="C65" s="39"/>
      <c r="D65" s="39"/>
      <c r="E65" s="54">
        <v>0.52</v>
      </c>
      <c r="F65" s="54">
        <v>0.18</v>
      </c>
      <c r="G65" s="55">
        <v>0.0875</v>
      </c>
      <c r="H65" s="56"/>
      <c r="I65" s="54">
        <v>0.0125</v>
      </c>
      <c r="J65" s="54">
        <v>0.1</v>
      </c>
      <c r="K65" s="54">
        <v>0.1</v>
      </c>
      <c r="L65" s="54">
        <v>0</v>
      </c>
    </row>
    <row r="66" spans="2:12" ht="12.75">
      <c r="B66" s="39" t="s">
        <v>37</v>
      </c>
      <c r="C66" s="39"/>
      <c r="D66" s="39"/>
      <c r="E66" s="54">
        <v>0.52</v>
      </c>
      <c r="F66" s="54">
        <v>0.18</v>
      </c>
      <c r="G66" s="55">
        <v>0.0875</v>
      </c>
      <c r="H66" s="56"/>
      <c r="I66" s="54">
        <v>0.0125</v>
      </c>
      <c r="J66" s="54">
        <v>0.1</v>
      </c>
      <c r="K66" s="54">
        <v>0.1</v>
      </c>
      <c r="L66" s="54">
        <v>0</v>
      </c>
    </row>
    <row r="67" spans="2:12" ht="12.75">
      <c r="B67" s="39" t="s">
        <v>38</v>
      </c>
      <c r="C67" s="39"/>
      <c r="D67" s="39"/>
      <c r="E67" s="54">
        <v>0.55</v>
      </c>
      <c r="F67" s="54">
        <v>0.15</v>
      </c>
      <c r="G67" s="55">
        <v>0.0875</v>
      </c>
      <c r="H67" s="56"/>
      <c r="I67" s="54">
        <v>0.0125</v>
      </c>
      <c r="J67" s="54">
        <v>0.1</v>
      </c>
      <c r="K67" s="54">
        <v>0.1</v>
      </c>
      <c r="L67" s="54">
        <v>0</v>
      </c>
    </row>
    <row r="68" spans="2:12" ht="12.75">
      <c r="B68" s="39"/>
      <c r="C68" s="39"/>
      <c r="D68" s="39"/>
      <c r="E68" s="26"/>
      <c r="F68" s="27"/>
      <c r="G68" s="40"/>
      <c r="H68" s="26"/>
      <c r="I68" s="40"/>
      <c r="J68" s="40"/>
      <c r="K68" s="40"/>
      <c r="L68" s="40"/>
    </row>
    <row r="69" spans="1:13" s="23" customFormat="1" ht="12.75">
      <c r="A69" s="132" t="s">
        <v>43</v>
      </c>
      <c r="B69" s="133"/>
      <c r="C69" s="133"/>
      <c r="D69" s="133"/>
      <c r="E69" s="133"/>
      <c r="F69" s="133"/>
      <c r="G69" s="133"/>
      <c r="H69" s="133"/>
      <c r="I69" s="133"/>
      <c r="J69" s="133"/>
      <c r="K69" s="133"/>
      <c r="L69" s="133"/>
      <c r="M69" s="134"/>
    </row>
    <row r="70" spans="1:6" ht="9" customHeight="1">
      <c r="A70" s="24"/>
      <c r="E70"/>
      <c r="F70" s="16"/>
    </row>
    <row r="71" spans="1:13" ht="52.5" customHeight="1">
      <c r="A71" s="121" t="s">
        <v>110</v>
      </c>
      <c r="B71" s="135"/>
      <c r="C71" s="135"/>
      <c r="D71" s="135"/>
      <c r="E71" s="135"/>
      <c r="F71" s="135"/>
      <c r="G71" s="135"/>
      <c r="H71" s="135"/>
      <c r="I71" s="135"/>
      <c r="J71" s="135"/>
      <c r="K71" s="135"/>
      <c r="L71" s="135"/>
      <c r="M71" s="135"/>
    </row>
    <row r="72" spans="1:6" ht="12.75">
      <c r="A72" s="16"/>
      <c r="E72"/>
      <c r="F72" s="16"/>
    </row>
    <row r="73" spans="2:5" ht="12.75">
      <c r="B73" s="24" t="s">
        <v>44</v>
      </c>
      <c r="C73" s="24"/>
      <c r="D73" s="24"/>
      <c r="E73" s="16">
        <v>346334</v>
      </c>
    </row>
    <row r="74" spans="2:5" ht="12.75">
      <c r="B74" s="24" t="s">
        <v>45</v>
      </c>
      <c r="C74" s="24"/>
      <c r="D74" s="24"/>
      <c r="E74" s="16">
        <v>126019</v>
      </c>
    </row>
    <row r="75" spans="2:5" ht="12.75">
      <c r="B75" s="16" t="s">
        <v>46</v>
      </c>
      <c r="E75" s="16">
        <v>157451</v>
      </c>
    </row>
    <row r="76" ht="12.75">
      <c r="E76" s="16" t="s">
        <v>39</v>
      </c>
    </row>
    <row r="77" ht="12.75">
      <c r="A77" s="28" t="s">
        <v>98</v>
      </c>
    </row>
  </sheetData>
  <sheetProtection/>
  <mergeCells count="12">
    <mergeCell ref="A1:M1"/>
    <mergeCell ref="A2:M2"/>
    <mergeCell ref="A3:M3"/>
    <mergeCell ref="A4:M4"/>
    <mergeCell ref="A5:M5"/>
    <mergeCell ref="A8:M8"/>
    <mergeCell ref="I10:M10"/>
    <mergeCell ref="A31:M31"/>
    <mergeCell ref="A59:M59"/>
    <mergeCell ref="F61:I61"/>
    <mergeCell ref="A69:M69"/>
    <mergeCell ref="A71:M71"/>
  </mergeCells>
  <hyperlinks>
    <hyperlink ref="A4" r:id="rId1" display="www.batavia-downs.com"/>
  </hyperlinks>
  <printOptions/>
  <pageMargins left="0.25" right="0.25" top="0.75" bottom="0.5" header="0.5" footer="0.5"/>
  <pageSetup fitToHeight="1" fitToWidth="1" horizontalDpi="600" verticalDpi="600" orientation="portrait" scale="70" r:id="rId3"/>
  <drawing r:id="rId2"/>
</worksheet>
</file>

<file path=xl/worksheets/sheet12.xml><?xml version="1.0" encoding="utf-8"?>
<worksheet xmlns="http://schemas.openxmlformats.org/spreadsheetml/2006/main" xmlns:r="http://schemas.openxmlformats.org/officeDocument/2006/relationships">
  <sheetPr>
    <pageSetUpPr fitToPage="1"/>
  </sheetPr>
  <dimension ref="A1:M77"/>
  <sheetViews>
    <sheetView zoomScalePageLayoutView="0" workbookViewId="0" topLeftCell="A1">
      <selection activeCell="B28" sqref="B28"/>
    </sheetView>
  </sheetViews>
  <sheetFormatPr defaultColWidth="9.140625" defaultRowHeight="12.75"/>
  <cols>
    <col min="1" max="1" width="9.28125" style="3" customWidth="1"/>
    <col min="2" max="3" width="13.140625" style="16" customWidth="1"/>
    <col min="4" max="4" width="13.7109375" style="16" customWidth="1"/>
    <col min="5" max="5" width="12.7109375" style="16" customWidth="1"/>
    <col min="6" max="6" width="8.8515625" style="17" customWidth="1"/>
    <col min="7" max="7" width="10.28125" style="16" customWidth="1"/>
    <col min="8" max="8" width="1.421875" style="16" customWidth="1"/>
    <col min="9" max="9" width="12.421875" style="16" customWidth="1"/>
    <col min="10" max="10" width="12.8515625" style="16" customWidth="1"/>
    <col min="11" max="12" width="13.7109375" style="16" customWidth="1"/>
    <col min="13" max="13" width="13.28125" style="16" customWidth="1"/>
    <col min="14" max="14" width="12.7109375" style="0" customWidth="1"/>
  </cols>
  <sheetData>
    <row r="1" spans="1:13" ht="18">
      <c r="A1" s="136" t="s">
        <v>60</v>
      </c>
      <c r="B1" s="136"/>
      <c r="C1" s="136"/>
      <c r="D1" s="136"/>
      <c r="E1" s="136"/>
      <c r="F1" s="136"/>
      <c r="G1" s="136"/>
      <c r="H1" s="136"/>
      <c r="I1" s="136"/>
      <c r="J1" s="136"/>
      <c r="K1" s="136"/>
      <c r="L1" s="136"/>
      <c r="M1" s="136"/>
    </row>
    <row r="2" spans="1:13" ht="15">
      <c r="A2" s="137" t="s">
        <v>0</v>
      </c>
      <c r="B2" s="137"/>
      <c r="C2" s="137"/>
      <c r="D2" s="137"/>
      <c r="E2" s="137"/>
      <c r="F2" s="137"/>
      <c r="G2" s="137"/>
      <c r="H2" s="137"/>
      <c r="I2" s="137"/>
      <c r="J2" s="137"/>
      <c r="K2" s="137"/>
      <c r="L2" s="137"/>
      <c r="M2" s="137"/>
    </row>
    <row r="3" spans="1:13" s="1" customFormat="1" ht="15">
      <c r="A3" s="137" t="s">
        <v>1</v>
      </c>
      <c r="B3" s="137"/>
      <c r="C3" s="137"/>
      <c r="D3" s="137"/>
      <c r="E3" s="137"/>
      <c r="F3" s="137"/>
      <c r="G3" s="137"/>
      <c r="H3" s="137"/>
      <c r="I3" s="137"/>
      <c r="J3" s="137"/>
      <c r="K3" s="137"/>
      <c r="L3" s="137"/>
      <c r="M3" s="137"/>
    </row>
    <row r="4" spans="1:13" s="1" customFormat="1" ht="14.25">
      <c r="A4" s="124" t="s">
        <v>2</v>
      </c>
      <c r="B4" s="124"/>
      <c r="C4" s="124"/>
      <c r="D4" s="124"/>
      <c r="E4" s="124"/>
      <c r="F4" s="124"/>
      <c r="G4" s="124"/>
      <c r="H4" s="124"/>
      <c r="I4" s="124"/>
      <c r="J4" s="124"/>
      <c r="K4" s="124"/>
      <c r="L4" s="124"/>
      <c r="M4" s="124"/>
    </row>
    <row r="5" spans="1:13" s="1" customFormat="1" ht="14.25">
      <c r="A5" s="138" t="s">
        <v>3</v>
      </c>
      <c r="B5" s="138"/>
      <c r="C5" s="138"/>
      <c r="D5" s="138"/>
      <c r="E5" s="138"/>
      <c r="F5" s="138"/>
      <c r="G5" s="138"/>
      <c r="H5" s="138"/>
      <c r="I5" s="138"/>
      <c r="J5" s="138"/>
      <c r="K5" s="138"/>
      <c r="L5" s="138"/>
      <c r="M5" s="138"/>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129" t="s">
        <v>93</v>
      </c>
      <c r="B8" s="130"/>
      <c r="C8" s="130"/>
      <c r="D8" s="130"/>
      <c r="E8" s="130"/>
      <c r="F8" s="130"/>
      <c r="G8" s="130"/>
      <c r="H8" s="130"/>
      <c r="I8" s="130"/>
      <c r="J8" s="130"/>
      <c r="K8" s="130"/>
      <c r="L8" s="130"/>
      <c r="M8" s="131"/>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128" t="s">
        <v>5</v>
      </c>
      <c r="J10" s="128"/>
      <c r="K10" s="128"/>
      <c r="L10" s="128"/>
      <c r="M10" s="128"/>
    </row>
    <row r="11" spans="1:13" s="1" customFormat="1" ht="12.75">
      <c r="A11" s="3"/>
      <c r="B11" s="5"/>
      <c r="C11" s="5"/>
      <c r="D11" s="5"/>
      <c r="E11" s="5"/>
      <c r="F11" s="6"/>
      <c r="G11" s="5"/>
      <c r="H11" s="5"/>
      <c r="I11" s="5"/>
      <c r="J11" s="5"/>
      <c r="K11" s="5"/>
      <c r="L11" s="5"/>
      <c r="M11" s="5"/>
    </row>
    <row r="12" spans="1:13" s="12" customFormat="1" ht="12">
      <c r="A12" s="9"/>
      <c r="B12" s="10" t="s">
        <v>6</v>
      </c>
      <c r="C12" s="10" t="s">
        <v>72</v>
      </c>
      <c r="D12" s="10" t="s">
        <v>6</v>
      </c>
      <c r="E12" s="10"/>
      <c r="F12" s="11" t="s">
        <v>7</v>
      </c>
      <c r="G12" s="10" t="s">
        <v>8</v>
      </c>
      <c r="H12" s="10"/>
      <c r="I12" s="10" t="s">
        <v>9</v>
      </c>
      <c r="J12" s="10" t="s">
        <v>83</v>
      </c>
      <c r="K12" s="10" t="s">
        <v>10</v>
      </c>
      <c r="L12" s="10" t="s">
        <v>84</v>
      </c>
      <c r="M12" s="10" t="s">
        <v>49</v>
      </c>
    </row>
    <row r="13" spans="1:13" s="12" customFormat="1" ht="12">
      <c r="A13" s="13" t="s">
        <v>11</v>
      </c>
      <c r="B13" s="8" t="s">
        <v>12</v>
      </c>
      <c r="C13" s="8" t="s">
        <v>19</v>
      </c>
      <c r="D13" s="8" t="s">
        <v>13</v>
      </c>
      <c r="E13" s="8" t="s">
        <v>14</v>
      </c>
      <c r="F13" s="14" t="s">
        <v>15</v>
      </c>
      <c r="G13" s="8" t="s">
        <v>16</v>
      </c>
      <c r="H13" s="15"/>
      <c r="I13" s="8" t="s">
        <v>17</v>
      </c>
      <c r="J13" s="8" t="s">
        <v>18</v>
      </c>
      <c r="K13" s="8" t="s">
        <v>19</v>
      </c>
      <c r="L13" s="8" t="s">
        <v>85</v>
      </c>
      <c r="M13" s="8" t="s">
        <v>50</v>
      </c>
    </row>
    <row r="15" spans="1:13" ht="12.75">
      <c r="A15" s="3">
        <v>41000</v>
      </c>
      <c r="B15" s="16">
        <v>47599821.43</v>
      </c>
      <c r="C15" s="16">
        <f>405020.53-56049.41</f>
        <v>348971.12</v>
      </c>
      <c r="D15" s="16">
        <f aca="true" t="shared" si="0" ref="D15:D26">+B15-C15-E15</f>
        <v>43413384.580000006</v>
      </c>
      <c r="E15" s="16">
        <v>3837465.73</v>
      </c>
      <c r="F15" s="17">
        <v>640</v>
      </c>
      <c r="G15" s="16">
        <f>E15/F15/30</f>
        <v>199.86800677083332</v>
      </c>
      <c r="I15" s="16">
        <v>1573360.93</v>
      </c>
      <c r="J15" s="16">
        <v>1343113.04</v>
      </c>
      <c r="K15" s="16">
        <v>383746.6</v>
      </c>
      <c r="L15" s="16">
        <v>383746.6</v>
      </c>
      <c r="M15" s="16">
        <v>153498.62</v>
      </c>
    </row>
    <row r="16" spans="1:13" ht="12.75">
      <c r="A16" s="3">
        <v>41030</v>
      </c>
      <c r="B16" s="16">
        <v>47746968.51</v>
      </c>
      <c r="C16" s="16">
        <f>352660.81-27247.62</f>
        <v>325413.19</v>
      </c>
      <c r="D16" s="16">
        <f t="shared" si="0"/>
        <v>43421281.28</v>
      </c>
      <c r="E16" s="16">
        <v>4000274.04</v>
      </c>
      <c r="F16" s="17">
        <v>640</v>
      </c>
      <c r="G16" s="16">
        <f>E16/F16/31</f>
        <v>201.62671572580643</v>
      </c>
      <c r="I16" s="16">
        <v>1640112.36</v>
      </c>
      <c r="J16" s="16">
        <v>1400095.94</v>
      </c>
      <c r="K16" s="16">
        <v>400027.45</v>
      </c>
      <c r="L16" s="16">
        <v>400027.45</v>
      </c>
      <c r="M16" s="16">
        <v>160010.95</v>
      </c>
    </row>
    <row r="17" spans="1:13" ht="12.75">
      <c r="A17" s="3">
        <v>41061</v>
      </c>
      <c r="B17" s="16">
        <v>46088335.88</v>
      </c>
      <c r="C17" s="16">
        <f>273686.53-24541.3</f>
        <v>249145.23000000004</v>
      </c>
      <c r="D17" s="16">
        <f t="shared" si="0"/>
        <v>42025716.39000001</v>
      </c>
      <c r="E17" s="16">
        <v>3813474.26</v>
      </c>
      <c r="F17" s="17">
        <v>640</v>
      </c>
      <c r="G17" s="16">
        <f>E17/F17/30</f>
        <v>198.61845104166665</v>
      </c>
      <c r="I17" s="16">
        <v>1563524.46</v>
      </c>
      <c r="J17" s="16">
        <v>1334715.99</v>
      </c>
      <c r="K17" s="16">
        <v>381347.45</v>
      </c>
      <c r="L17" s="16">
        <v>381347.45</v>
      </c>
      <c r="M17" s="16">
        <v>152538.96</v>
      </c>
    </row>
    <row r="18" spans="1:13" ht="12.75">
      <c r="A18" s="3">
        <v>41091</v>
      </c>
      <c r="B18" s="16">
        <v>47405028.24</v>
      </c>
      <c r="C18" s="16">
        <v>273713.77</v>
      </c>
      <c r="D18" s="16">
        <f t="shared" si="0"/>
        <v>43140126.36</v>
      </c>
      <c r="E18" s="16">
        <v>3991188.11</v>
      </c>
      <c r="F18" s="17">
        <v>640</v>
      </c>
      <c r="G18" s="16">
        <f>E18/F18/31</f>
        <v>201.16875554435484</v>
      </c>
      <c r="I18" s="16">
        <v>1636387.13</v>
      </c>
      <c r="J18" s="16">
        <v>1396915.84</v>
      </c>
      <c r="K18" s="16">
        <v>399118.82</v>
      </c>
      <c r="L18" s="16">
        <v>399118.82</v>
      </c>
      <c r="M18" s="16">
        <v>159647.51</v>
      </c>
    </row>
    <row r="19" spans="1:13" ht="12.75">
      <c r="A19" s="3">
        <v>41122</v>
      </c>
      <c r="B19" s="16">
        <v>50275821.72</v>
      </c>
      <c r="C19" s="16">
        <f>334955.3-26690</f>
        <v>308265.3</v>
      </c>
      <c r="D19" s="16">
        <f t="shared" si="0"/>
        <v>45804013.910000004</v>
      </c>
      <c r="E19" s="16">
        <v>4163542.51</v>
      </c>
      <c r="F19" s="17">
        <v>640</v>
      </c>
      <c r="G19" s="16">
        <f>E19/F19/31</f>
        <v>209.85597328629032</v>
      </c>
      <c r="I19" s="16">
        <v>1707052.41</v>
      </c>
      <c r="J19" s="16">
        <v>1457239.9</v>
      </c>
      <c r="K19" s="16">
        <v>416354.26</v>
      </c>
      <c r="L19" s="16">
        <v>416354.26</v>
      </c>
      <c r="M19" s="16">
        <v>166541.71</v>
      </c>
    </row>
    <row r="20" spans="1:13" ht="12.75">
      <c r="A20" s="3">
        <v>41153</v>
      </c>
      <c r="B20" s="16">
        <v>45243133.81</v>
      </c>
      <c r="C20" s="16">
        <f>295734.41-26255</f>
        <v>269479.41</v>
      </c>
      <c r="D20" s="16">
        <f t="shared" si="0"/>
        <v>41170844.970000006</v>
      </c>
      <c r="E20" s="16">
        <v>3802809.43</v>
      </c>
      <c r="F20" s="17">
        <v>640</v>
      </c>
      <c r="G20" s="16">
        <f>E20/F20/30</f>
        <v>198.06299114583334</v>
      </c>
      <c r="I20" s="16">
        <v>1559151.87</v>
      </c>
      <c r="J20" s="16">
        <v>1330983.33</v>
      </c>
      <c r="K20" s="16">
        <v>380280.96</v>
      </c>
      <c r="L20" s="16">
        <v>380280.96</v>
      </c>
      <c r="M20" s="16">
        <v>152112.38</v>
      </c>
    </row>
    <row r="21" spans="1:13" ht="12.75">
      <c r="A21" s="3">
        <v>41183</v>
      </c>
      <c r="B21" s="16">
        <v>44275591.86</v>
      </c>
      <c r="C21" s="16">
        <f>352080.26-24783.95</f>
        <v>327296.31</v>
      </c>
      <c r="D21" s="16">
        <f t="shared" si="0"/>
        <v>40287680.669999994</v>
      </c>
      <c r="E21" s="16">
        <v>3660614.88</v>
      </c>
      <c r="F21" s="17">
        <v>640</v>
      </c>
      <c r="G21" s="16">
        <f>E21/F21/31</f>
        <v>184.50679838709678</v>
      </c>
      <c r="I21" s="16">
        <v>1500852.12</v>
      </c>
      <c r="J21" s="16">
        <v>1281215.2</v>
      </c>
      <c r="K21" s="16">
        <v>366061.51</v>
      </c>
      <c r="L21" s="16">
        <v>366061.51</v>
      </c>
      <c r="M21" s="16">
        <v>146424.61</v>
      </c>
    </row>
    <row r="22" spans="1:13" ht="12.75">
      <c r="A22" s="3">
        <v>41214</v>
      </c>
      <c r="B22" s="16">
        <v>41298031</v>
      </c>
      <c r="C22" s="16">
        <f>320214.92-35035.62</f>
        <v>285179.3</v>
      </c>
      <c r="D22" s="16">
        <f t="shared" si="0"/>
        <v>37566879.940000005</v>
      </c>
      <c r="E22" s="16">
        <v>3445971.76</v>
      </c>
      <c r="F22" s="17">
        <v>640</v>
      </c>
      <c r="G22" s="16">
        <f>E22/F22/30</f>
        <v>179.4776958333333</v>
      </c>
      <c r="I22" s="16">
        <v>1412848.42</v>
      </c>
      <c r="J22" s="16">
        <v>1206090.13</v>
      </c>
      <c r="K22" s="16">
        <v>344597.18</v>
      </c>
      <c r="L22" s="16">
        <v>344597.18</v>
      </c>
      <c r="M22" s="16">
        <v>137838.89</v>
      </c>
    </row>
    <row r="23" spans="1:13" ht="12.75">
      <c r="A23" s="3">
        <v>41244</v>
      </c>
      <c r="B23" s="16">
        <v>40829879.35</v>
      </c>
      <c r="C23" s="16">
        <f>394346.21-55159.35</f>
        <v>339186.86000000004</v>
      </c>
      <c r="D23" s="16">
        <f t="shared" si="0"/>
        <v>37141720.58</v>
      </c>
      <c r="E23" s="16">
        <v>3348971.91</v>
      </c>
      <c r="F23" s="17">
        <v>640</v>
      </c>
      <c r="G23" s="16">
        <f>E23/F23/31</f>
        <v>168.79898739919355</v>
      </c>
      <c r="I23" s="16">
        <v>1373078.49</v>
      </c>
      <c r="J23" s="16">
        <v>1172140.16</v>
      </c>
      <c r="K23" s="16">
        <v>334897.21</v>
      </c>
      <c r="L23" s="16">
        <v>334897.21</v>
      </c>
      <c r="M23" s="16">
        <v>133958.87</v>
      </c>
    </row>
    <row r="24" spans="1:13" ht="12.75">
      <c r="A24" s="3">
        <v>41275</v>
      </c>
      <c r="B24" s="16">
        <v>38839763.23</v>
      </c>
      <c r="C24" s="16">
        <f>272388.6-22116.35</f>
        <v>250272.24999999997</v>
      </c>
      <c r="D24" s="16">
        <f t="shared" si="0"/>
        <v>35374299.089999996</v>
      </c>
      <c r="E24" s="16">
        <v>3215191.89</v>
      </c>
      <c r="F24" s="17">
        <v>640</v>
      </c>
      <c r="G24" s="16">
        <f>E24/F24/31</f>
        <v>162.05604284274193</v>
      </c>
      <c r="I24" s="16">
        <v>1318228.7</v>
      </c>
      <c r="J24" s="16">
        <v>1125317.16</v>
      </c>
      <c r="K24" s="16">
        <v>321519.19</v>
      </c>
      <c r="L24" s="16">
        <v>321519.19</v>
      </c>
      <c r="M24" s="16">
        <v>128607.69</v>
      </c>
    </row>
    <row r="25" spans="1:13" ht="12.75">
      <c r="A25" s="3">
        <v>41306</v>
      </c>
      <c r="B25" s="16">
        <v>43492440.08</v>
      </c>
      <c r="C25" s="16">
        <f>373887-69682.8</f>
        <v>304204.2</v>
      </c>
      <c r="D25" s="16">
        <f t="shared" si="0"/>
        <v>39537722.519999996</v>
      </c>
      <c r="E25" s="16">
        <v>3650513.36</v>
      </c>
      <c r="F25" s="17">
        <v>640</v>
      </c>
      <c r="G25" s="16">
        <f>E25/F25/28</f>
        <v>203.7116830357143</v>
      </c>
      <c r="I25" s="16">
        <v>1496710.49</v>
      </c>
      <c r="J25" s="16">
        <v>1277679.67</v>
      </c>
      <c r="K25" s="16">
        <v>365051.36</v>
      </c>
      <c r="L25" s="16">
        <v>365051.36</v>
      </c>
      <c r="M25" s="16">
        <v>146020.53</v>
      </c>
    </row>
    <row r="26" spans="1:13" ht="12.75">
      <c r="A26" s="3">
        <v>41334</v>
      </c>
      <c r="B26" s="16">
        <v>50301371.39</v>
      </c>
      <c r="C26" s="16">
        <v>346643.1</v>
      </c>
      <c r="D26" s="16">
        <f t="shared" si="0"/>
        <v>45794059.89</v>
      </c>
      <c r="E26" s="16">
        <v>4160668.4</v>
      </c>
      <c r="F26" s="17">
        <v>640</v>
      </c>
      <c r="G26" s="16">
        <f>E26/F26/31</f>
        <v>209.71110887096773</v>
      </c>
      <c r="I26" s="16">
        <v>1705874.04</v>
      </c>
      <c r="J26" s="16">
        <v>1456233.94</v>
      </c>
      <c r="K26" s="16">
        <v>416066.85</v>
      </c>
      <c r="L26" s="16">
        <v>416066.85</v>
      </c>
      <c r="M26" s="16">
        <v>166426.72</v>
      </c>
    </row>
    <row r="27" spans="1:13" ht="13.5" thickBot="1">
      <c r="A27" s="3" t="s">
        <v>20</v>
      </c>
      <c r="B27" s="18">
        <f>SUM(B15:B26)</f>
        <v>543396186.5000001</v>
      </c>
      <c r="C27" s="18">
        <f>SUM(C15:C26)</f>
        <v>3627770.04</v>
      </c>
      <c r="D27" s="18">
        <f>SUM(D15:D26)</f>
        <v>494677730.17999995</v>
      </c>
      <c r="E27" s="18">
        <f>SUM(E15:E26)</f>
        <v>45090686.279999994</v>
      </c>
      <c r="I27" s="18">
        <f>SUM(I15:I26)</f>
        <v>18487181.419999998</v>
      </c>
      <c r="J27" s="18">
        <f>SUM(J15:J26)</f>
        <v>15781740.299999997</v>
      </c>
      <c r="K27" s="18">
        <f>SUM(K15:K26)</f>
        <v>4509068.84</v>
      </c>
      <c r="L27" s="18">
        <f>SUM(L15:L26)</f>
        <v>4509068.84</v>
      </c>
      <c r="M27" s="18">
        <f>SUM(M15:M26)</f>
        <v>1803627.44</v>
      </c>
    </row>
    <row r="28" spans="2:13" ht="10.5" customHeight="1" thickTop="1">
      <c r="B28" s="19"/>
      <c r="C28" s="19"/>
      <c r="D28" s="19"/>
      <c r="E28" s="19"/>
      <c r="I28" s="19"/>
      <c r="J28" s="19"/>
      <c r="K28" s="19"/>
      <c r="L28" s="19"/>
      <c r="M28" s="19"/>
    </row>
    <row r="29" spans="1:13" s="22" customFormat="1" ht="12.75">
      <c r="A29" s="20"/>
      <c r="B29" s="21"/>
      <c r="C29" s="21">
        <f>C27/B27</f>
        <v>0.0066761050778923695</v>
      </c>
      <c r="D29" s="21">
        <f>D27/B27</f>
        <v>0.9103445008810341</v>
      </c>
      <c r="E29" s="21">
        <f>E27/B27</f>
        <v>0.08297939404107317</v>
      </c>
      <c r="I29" s="21">
        <f>I27/$E$27</f>
        <v>0.41000000100242434</v>
      </c>
      <c r="J29" s="21">
        <f>J27/$E$27</f>
        <v>0.3500000022621079</v>
      </c>
      <c r="K29" s="21">
        <f>K27/$E$27</f>
        <v>0.10000000470163614</v>
      </c>
      <c r="L29" s="21">
        <f>L27/$E$27</f>
        <v>0.10000000470163614</v>
      </c>
      <c r="M29" s="21">
        <f>M27/$E$27</f>
        <v>0.03999999975161168</v>
      </c>
    </row>
    <row r="31" spans="1:13" s="23" customFormat="1" ht="12.75">
      <c r="A31" s="129" t="s">
        <v>21</v>
      </c>
      <c r="B31" s="130"/>
      <c r="C31" s="130"/>
      <c r="D31" s="130"/>
      <c r="E31" s="130"/>
      <c r="F31" s="130"/>
      <c r="G31" s="130"/>
      <c r="H31" s="130"/>
      <c r="I31" s="130"/>
      <c r="J31" s="130"/>
      <c r="K31" s="130"/>
      <c r="L31" s="130"/>
      <c r="M31" s="131"/>
    </row>
    <row r="32" ht="12.75">
      <c r="A32" s="24"/>
    </row>
    <row r="33" spans="1:12" s="49" customFormat="1" ht="12.75" customHeight="1">
      <c r="A33" s="45" t="s">
        <v>22</v>
      </c>
      <c r="B33" s="46"/>
      <c r="C33" s="57" t="s">
        <v>94</v>
      </c>
      <c r="D33" s="58"/>
      <c r="E33" s="58"/>
      <c r="F33" s="58"/>
      <c r="G33" s="58"/>
      <c r="H33" s="58"/>
      <c r="I33" s="58"/>
      <c r="J33" s="58"/>
      <c r="K33" s="58"/>
      <c r="L33" s="58"/>
    </row>
    <row r="34" spans="1:12" s="49" customFormat="1" ht="12.75" customHeight="1">
      <c r="A34" s="45"/>
      <c r="B34" s="46"/>
      <c r="C34" s="57" t="s">
        <v>95</v>
      </c>
      <c r="D34" s="58"/>
      <c r="E34" s="58"/>
      <c r="F34" s="58"/>
      <c r="G34" s="58"/>
      <c r="H34" s="58"/>
      <c r="I34" s="58"/>
      <c r="J34" s="58"/>
      <c r="K34" s="58"/>
      <c r="L34" s="58"/>
    </row>
    <row r="35" spans="1:13" ht="6" customHeight="1">
      <c r="A35" s="25"/>
      <c r="B35" s="26"/>
      <c r="C35" s="26"/>
      <c r="D35" s="43"/>
      <c r="E35" s="43"/>
      <c r="F35" s="43"/>
      <c r="G35" s="43"/>
      <c r="H35" s="43"/>
      <c r="I35" s="43"/>
      <c r="J35" s="43"/>
      <c r="K35" s="43"/>
      <c r="L35" s="43"/>
      <c r="M35"/>
    </row>
    <row r="36" spans="1:13" ht="12.75">
      <c r="A36" s="25" t="s">
        <v>97</v>
      </c>
      <c r="B36" s="26"/>
      <c r="C36" s="26" t="s">
        <v>87</v>
      </c>
      <c r="F36" s="26"/>
      <c r="G36" s="26"/>
      <c r="H36" s="26"/>
      <c r="I36" s="26"/>
      <c r="J36" s="26"/>
      <c r="K36" s="26"/>
      <c r="L36" s="26"/>
      <c r="M36" s="26"/>
    </row>
    <row r="37" spans="1:13" ht="6" customHeight="1">
      <c r="A37" s="25"/>
      <c r="B37" s="26"/>
      <c r="C37" s="26"/>
      <c r="D37" s="26"/>
      <c r="F37" s="26"/>
      <c r="G37" s="26"/>
      <c r="H37" s="26"/>
      <c r="I37" s="26"/>
      <c r="J37" s="26"/>
      <c r="K37" s="26"/>
      <c r="L37" s="26"/>
      <c r="M37" s="26"/>
    </row>
    <row r="38" spans="1:13" ht="12.75">
      <c r="A38" s="25" t="s">
        <v>23</v>
      </c>
      <c r="B38" s="26"/>
      <c r="C38" s="26" t="s">
        <v>24</v>
      </c>
      <c r="F38" s="26"/>
      <c r="G38" s="26"/>
      <c r="H38" s="26"/>
      <c r="I38" s="26"/>
      <c r="J38" s="26"/>
      <c r="K38" s="26"/>
      <c r="L38" s="26"/>
      <c r="M38" s="26"/>
    </row>
    <row r="39" spans="1:13" ht="6" customHeight="1">
      <c r="A39" s="25"/>
      <c r="B39" s="26"/>
      <c r="C39" s="26"/>
      <c r="F39" s="26"/>
      <c r="G39" s="26"/>
      <c r="H39" s="26"/>
      <c r="I39" s="26"/>
      <c r="J39" s="26"/>
      <c r="K39" s="26"/>
      <c r="L39" s="26"/>
      <c r="M39" s="26"/>
    </row>
    <row r="40" spans="1:13" ht="12.75">
      <c r="A40" s="25" t="s">
        <v>25</v>
      </c>
      <c r="B40" s="26"/>
      <c r="C40" s="26" t="s">
        <v>64</v>
      </c>
      <c r="F40" s="27"/>
      <c r="G40" s="26"/>
      <c r="H40" s="26"/>
      <c r="I40" s="26"/>
      <c r="J40" s="26"/>
      <c r="K40" s="26"/>
      <c r="L40" s="26"/>
      <c r="M40" s="26"/>
    </row>
    <row r="41" spans="1:13" ht="12.75">
      <c r="A41" s="25"/>
      <c r="B41" s="26"/>
      <c r="C41" s="26" t="s">
        <v>63</v>
      </c>
      <c r="F41" s="27"/>
      <c r="G41" s="26"/>
      <c r="H41" s="26"/>
      <c r="I41" s="26"/>
      <c r="J41" s="26"/>
      <c r="K41" s="26"/>
      <c r="L41" s="26"/>
      <c r="M41" s="26"/>
    </row>
    <row r="42" spans="1:13" ht="6" customHeight="1">
      <c r="A42" s="25"/>
      <c r="B42" s="26"/>
      <c r="C42" s="26"/>
      <c r="F42" s="27"/>
      <c r="G42" s="26"/>
      <c r="H42" s="26"/>
      <c r="I42" s="26"/>
      <c r="J42" s="26"/>
      <c r="K42" s="26"/>
      <c r="L42" s="26"/>
      <c r="M42" s="26"/>
    </row>
    <row r="43" spans="1:13" ht="12.75">
      <c r="A43" s="25" t="s">
        <v>28</v>
      </c>
      <c r="B43" s="26"/>
      <c r="C43" s="26" t="s">
        <v>29</v>
      </c>
      <c r="F43" s="27"/>
      <c r="G43" s="26"/>
      <c r="H43" s="26"/>
      <c r="I43" s="26"/>
      <c r="J43" s="26"/>
      <c r="K43" s="26"/>
      <c r="L43" s="26"/>
      <c r="M43" s="26"/>
    </row>
    <row r="44" spans="1:13" ht="6" customHeight="1">
      <c r="A44" s="25"/>
      <c r="B44" s="26"/>
      <c r="C44" s="26"/>
      <c r="D44" s="26"/>
      <c r="F44" s="27"/>
      <c r="G44" s="26"/>
      <c r="H44" s="26"/>
      <c r="I44" s="26"/>
      <c r="J44" s="26"/>
      <c r="K44" s="26"/>
      <c r="L44" s="26"/>
      <c r="M44" s="26"/>
    </row>
    <row r="45" spans="1:12" s="49" customFormat="1" ht="12.75">
      <c r="A45" s="45" t="s">
        <v>74</v>
      </c>
      <c r="B45" s="46"/>
      <c r="C45" s="46" t="s">
        <v>75</v>
      </c>
      <c r="D45" s="47"/>
      <c r="E45" s="48"/>
      <c r="F45" s="46"/>
      <c r="G45" s="46"/>
      <c r="H45" s="46"/>
      <c r="I45" s="46"/>
      <c r="J45" s="46"/>
      <c r="K45" s="46"/>
      <c r="L45" s="46"/>
    </row>
    <row r="46" spans="1:12" s="49" customFormat="1" ht="12.75">
      <c r="A46" s="45"/>
      <c r="B46" s="46"/>
      <c r="C46" s="46" t="s">
        <v>81</v>
      </c>
      <c r="D46" s="47"/>
      <c r="E46" s="48"/>
      <c r="F46" s="46"/>
      <c r="G46" s="46"/>
      <c r="H46" s="46"/>
      <c r="I46" s="46"/>
      <c r="J46" s="46"/>
      <c r="K46" s="46"/>
      <c r="L46" s="46"/>
    </row>
    <row r="47" spans="1:12" s="49" customFormat="1" ht="12.75">
      <c r="A47" s="45"/>
      <c r="B47" s="46"/>
      <c r="C47" s="46" t="s">
        <v>82</v>
      </c>
      <c r="D47" s="47"/>
      <c r="E47" s="48"/>
      <c r="F47" s="46"/>
      <c r="G47" s="46"/>
      <c r="H47" s="46"/>
      <c r="I47" s="46"/>
      <c r="J47" s="46"/>
      <c r="K47" s="46"/>
      <c r="L47" s="46"/>
    </row>
    <row r="48" spans="1:13" ht="6" customHeight="1">
      <c r="A48" s="25"/>
      <c r="B48" s="26"/>
      <c r="C48" s="26"/>
      <c r="D48" s="26"/>
      <c r="F48" s="27"/>
      <c r="G48" s="26"/>
      <c r="H48" s="26"/>
      <c r="I48" s="26"/>
      <c r="J48" s="26"/>
      <c r="K48" s="26"/>
      <c r="L48" s="26"/>
      <c r="M48" s="26"/>
    </row>
    <row r="49" spans="1:12" s="49" customFormat="1" ht="12.75">
      <c r="A49" s="45" t="s">
        <v>30</v>
      </c>
      <c r="B49" s="46"/>
      <c r="C49" s="46" t="s">
        <v>76</v>
      </c>
      <c r="D49" s="47"/>
      <c r="E49" s="48"/>
      <c r="F49" s="46"/>
      <c r="G49" s="46"/>
      <c r="H49" s="46"/>
      <c r="I49" s="46"/>
      <c r="J49" s="46"/>
      <c r="K49" s="46"/>
      <c r="L49" s="46"/>
    </row>
    <row r="50" spans="1:12" s="49" customFormat="1" ht="12.75">
      <c r="A50" s="45"/>
      <c r="B50" s="46"/>
      <c r="C50" s="46" t="s">
        <v>77</v>
      </c>
      <c r="D50" s="47"/>
      <c r="E50" s="48"/>
      <c r="F50" s="46"/>
      <c r="G50" s="46"/>
      <c r="H50" s="46"/>
      <c r="I50" s="46"/>
      <c r="J50" s="46"/>
      <c r="K50" s="46"/>
      <c r="L50" s="46"/>
    </row>
    <row r="51" spans="1:13" ht="6" customHeight="1">
      <c r="A51" s="25"/>
      <c r="B51" s="26"/>
      <c r="C51" s="26"/>
      <c r="D51" s="26"/>
      <c r="F51" s="27"/>
      <c r="G51" s="26"/>
      <c r="H51" s="26"/>
      <c r="I51" s="26"/>
      <c r="J51" s="26"/>
      <c r="K51" s="26"/>
      <c r="L51" s="26"/>
      <c r="M51" s="26"/>
    </row>
    <row r="52" spans="1:12" s="49" customFormat="1" ht="12.75">
      <c r="A52" s="45" t="s">
        <v>86</v>
      </c>
      <c r="B52" s="46"/>
      <c r="C52" s="46" t="s">
        <v>79</v>
      </c>
      <c r="D52" s="47"/>
      <c r="E52" s="48"/>
      <c r="F52" s="46"/>
      <c r="G52" s="46"/>
      <c r="H52" s="46"/>
      <c r="I52" s="46"/>
      <c r="J52" s="46"/>
      <c r="K52" s="46"/>
      <c r="L52" s="46"/>
    </row>
    <row r="53" spans="1:12" s="49" customFormat="1" ht="12.75">
      <c r="A53" s="50"/>
      <c r="B53" s="46"/>
      <c r="C53" s="46" t="s">
        <v>80</v>
      </c>
      <c r="D53" s="47"/>
      <c r="E53" s="48"/>
      <c r="F53" s="46"/>
      <c r="G53" s="46"/>
      <c r="H53" s="46"/>
      <c r="I53" s="46"/>
      <c r="J53" s="46"/>
      <c r="K53" s="46"/>
      <c r="L53" s="46"/>
    </row>
    <row r="54" spans="1:13" ht="6" customHeight="1">
      <c r="A54" s="29"/>
      <c r="B54" s="30"/>
      <c r="C54" s="30"/>
      <c r="D54" s="30"/>
      <c r="E54" s="30"/>
      <c r="F54" s="31"/>
      <c r="G54" s="30"/>
      <c r="H54" s="30"/>
      <c r="I54" s="30"/>
      <c r="J54" s="30"/>
      <c r="K54" s="30"/>
      <c r="L54" s="30"/>
      <c r="M54" s="30"/>
    </row>
    <row r="55" spans="1:12" ht="12.75">
      <c r="A55" s="25" t="s">
        <v>51</v>
      </c>
      <c r="B55" s="26"/>
      <c r="C55" s="26" t="s">
        <v>65</v>
      </c>
      <c r="F55" s="27"/>
      <c r="G55" s="26"/>
      <c r="H55" s="26"/>
      <c r="I55" s="26"/>
      <c r="J55" s="26"/>
      <c r="K55" s="26"/>
      <c r="L55" s="26"/>
    </row>
    <row r="56" spans="1:12" ht="12.75">
      <c r="A56" s="28"/>
      <c r="B56" s="26"/>
      <c r="C56" s="26" t="s">
        <v>67</v>
      </c>
      <c r="F56" s="27"/>
      <c r="G56" s="26"/>
      <c r="H56" s="26"/>
      <c r="I56" s="26"/>
      <c r="J56" s="26"/>
      <c r="K56" s="26"/>
      <c r="L56" s="26"/>
    </row>
    <row r="57" spans="1:12" ht="12.75">
      <c r="A57" s="28"/>
      <c r="B57" s="26"/>
      <c r="C57" s="26" t="s">
        <v>66</v>
      </c>
      <c r="F57" s="27"/>
      <c r="G57" s="26"/>
      <c r="H57" s="26"/>
      <c r="I57" s="26"/>
      <c r="J57" s="26"/>
      <c r="K57" s="26"/>
      <c r="L57" s="26"/>
    </row>
    <row r="58" spans="1:13" ht="12.75">
      <c r="A58" s="29"/>
      <c r="B58" s="30"/>
      <c r="C58" s="30"/>
      <c r="D58" s="30"/>
      <c r="E58" s="30"/>
      <c r="F58" s="31"/>
      <c r="G58" s="30"/>
      <c r="H58" s="30"/>
      <c r="I58" s="30"/>
      <c r="J58" s="30"/>
      <c r="K58" s="30"/>
      <c r="L58" s="30"/>
      <c r="M58" s="30"/>
    </row>
    <row r="59" spans="1:13" s="23" customFormat="1" ht="12.75">
      <c r="A59" s="129" t="s">
        <v>31</v>
      </c>
      <c r="B59" s="130"/>
      <c r="C59" s="130"/>
      <c r="D59" s="130"/>
      <c r="E59" s="130"/>
      <c r="F59" s="130"/>
      <c r="G59" s="130"/>
      <c r="H59" s="130"/>
      <c r="I59" s="130"/>
      <c r="J59" s="130"/>
      <c r="K59" s="130"/>
      <c r="L59" s="130"/>
      <c r="M59" s="131"/>
    </row>
    <row r="60" ht="12.75">
      <c r="A60" s="24"/>
    </row>
    <row r="61" spans="1:12" ht="13.5">
      <c r="A61" s="32"/>
      <c r="E61" s="10" t="s">
        <v>9</v>
      </c>
      <c r="F61" s="128" t="s">
        <v>88</v>
      </c>
      <c r="G61" s="128"/>
      <c r="H61" s="128"/>
      <c r="I61" s="128"/>
      <c r="J61" s="10" t="s">
        <v>10</v>
      </c>
      <c r="K61" s="10" t="s">
        <v>84</v>
      </c>
      <c r="L61" s="10" t="s">
        <v>49</v>
      </c>
    </row>
    <row r="62" spans="1:12" ht="12.75">
      <c r="A62" s="35"/>
      <c r="E62" s="8" t="s">
        <v>17</v>
      </c>
      <c r="F62" s="8" t="s">
        <v>89</v>
      </c>
      <c r="G62" s="53" t="s">
        <v>90</v>
      </c>
      <c r="H62" s="36"/>
      <c r="I62" s="8" t="s">
        <v>91</v>
      </c>
      <c r="J62" s="8" t="s">
        <v>19</v>
      </c>
      <c r="K62" s="8" t="s">
        <v>85</v>
      </c>
      <c r="L62" s="8" t="s">
        <v>50</v>
      </c>
    </row>
    <row r="63" spans="2:12" ht="12.75">
      <c r="B63" s="39" t="s">
        <v>35</v>
      </c>
      <c r="C63" s="39"/>
      <c r="D63" s="39"/>
      <c r="E63" s="54">
        <v>0.41</v>
      </c>
      <c r="F63" s="54">
        <v>0.25</v>
      </c>
      <c r="G63" s="55">
        <v>0.0875</v>
      </c>
      <c r="H63" s="56"/>
      <c r="I63" s="54">
        <v>0.0125</v>
      </c>
      <c r="J63" s="54">
        <v>0.1</v>
      </c>
      <c r="K63" s="54">
        <v>0.1</v>
      </c>
      <c r="L63" s="54">
        <v>0.04</v>
      </c>
    </row>
    <row r="64" spans="2:12" ht="12.75">
      <c r="B64" s="39" t="s">
        <v>58</v>
      </c>
      <c r="C64" s="39"/>
      <c r="D64" s="39"/>
      <c r="E64" s="54">
        <v>0.48</v>
      </c>
      <c r="F64" s="54">
        <v>0.18</v>
      </c>
      <c r="G64" s="55">
        <v>0.0875</v>
      </c>
      <c r="H64" s="56"/>
      <c r="I64" s="54">
        <v>0.0125</v>
      </c>
      <c r="J64" s="54">
        <v>0.1</v>
      </c>
      <c r="K64" s="54">
        <v>0.1</v>
      </c>
      <c r="L64" s="54">
        <v>0.04</v>
      </c>
    </row>
    <row r="65" spans="2:12" ht="12.75">
      <c r="B65" s="39" t="s">
        <v>59</v>
      </c>
      <c r="C65" s="39"/>
      <c r="D65" s="39"/>
      <c r="E65" s="54">
        <v>0.52</v>
      </c>
      <c r="F65" s="54">
        <v>0.18</v>
      </c>
      <c r="G65" s="55">
        <v>0.0875</v>
      </c>
      <c r="H65" s="56"/>
      <c r="I65" s="54">
        <v>0.0125</v>
      </c>
      <c r="J65" s="54">
        <v>0.1</v>
      </c>
      <c r="K65" s="54">
        <v>0.1</v>
      </c>
      <c r="L65" s="54">
        <v>0</v>
      </c>
    </row>
    <row r="66" spans="2:12" ht="12.75">
      <c r="B66" s="39" t="s">
        <v>37</v>
      </c>
      <c r="C66" s="39"/>
      <c r="D66" s="39"/>
      <c r="E66" s="54">
        <v>0.54</v>
      </c>
      <c r="F66" s="54">
        <v>0.18</v>
      </c>
      <c r="G66" s="55">
        <v>0.0875</v>
      </c>
      <c r="H66" s="56"/>
      <c r="I66" s="54">
        <v>0.0125</v>
      </c>
      <c r="J66" s="54">
        <v>0.08</v>
      </c>
      <c r="K66" s="54">
        <v>0.1</v>
      </c>
      <c r="L66" s="54">
        <v>0</v>
      </c>
    </row>
    <row r="67" spans="2:12" ht="12.75">
      <c r="B67" s="39" t="s">
        <v>38</v>
      </c>
      <c r="C67" s="39"/>
      <c r="D67" s="39"/>
      <c r="E67" s="54">
        <v>0.57</v>
      </c>
      <c r="F67" s="54">
        <v>0.15</v>
      </c>
      <c r="G67" s="55">
        <v>0.0875</v>
      </c>
      <c r="H67" s="56"/>
      <c r="I67" s="54">
        <v>0.0125</v>
      </c>
      <c r="J67" s="54">
        <v>0.08</v>
      </c>
      <c r="K67" s="54">
        <v>0.1</v>
      </c>
      <c r="L67" s="54">
        <v>0</v>
      </c>
    </row>
    <row r="68" spans="2:12" ht="12.75">
      <c r="B68" s="39"/>
      <c r="C68" s="39"/>
      <c r="D68" s="39"/>
      <c r="E68" s="26"/>
      <c r="F68" s="27"/>
      <c r="G68" s="40"/>
      <c r="H68" s="26"/>
      <c r="I68" s="40"/>
      <c r="J68" s="40"/>
      <c r="K68" s="40"/>
      <c r="L68" s="40"/>
    </row>
    <row r="69" spans="1:13" s="23" customFormat="1" ht="12.75">
      <c r="A69" s="132" t="s">
        <v>43</v>
      </c>
      <c r="B69" s="133"/>
      <c r="C69" s="133"/>
      <c r="D69" s="133"/>
      <c r="E69" s="133"/>
      <c r="F69" s="133"/>
      <c r="G69" s="133"/>
      <c r="H69" s="133"/>
      <c r="I69" s="133"/>
      <c r="J69" s="133"/>
      <c r="K69" s="133"/>
      <c r="L69" s="133"/>
      <c r="M69" s="134"/>
    </row>
    <row r="70" spans="1:6" ht="9" customHeight="1">
      <c r="A70" s="24"/>
      <c r="E70"/>
      <c r="F70" s="16"/>
    </row>
    <row r="71" spans="1:13" ht="52.5" customHeight="1">
      <c r="A71" s="121" t="s">
        <v>96</v>
      </c>
      <c r="B71" s="135"/>
      <c r="C71" s="135"/>
      <c r="D71" s="135"/>
      <c r="E71" s="135"/>
      <c r="F71" s="135"/>
      <c r="G71" s="135"/>
      <c r="H71" s="135"/>
      <c r="I71" s="135"/>
      <c r="J71" s="135"/>
      <c r="K71" s="135"/>
      <c r="L71" s="135"/>
      <c r="M71" s="135"/>
    </row>
    <row r="72" spans="1:6" ht="12.75">
      <c r="A72" s="16"/>
      <c r="E72"/>
      <c r="F72" s="16"/>
    </row>
    <row r="73" spans="2:5" ht="12.75">
      <c r="B73" s="24" t="s">
        <v>44</v>
      </c>
      <c r="C73" s="24"/>
      <c r="D73" s="24"/>
      <c r="E73" s="16">
        <v>284000</v>
      </c>
    </row>
    <row r="74" spans="2:5" ht="12.75">
      <c r="B74" s="24" t="s">
        <v>45</v>
      </c>
      <c r="C74" s="24"/>
      <c r="D74" s="24"/>
      <c r="E74" s="16">
        <v>104000</v>
      </c>
    </row>
    <row r="75" spans="2:5" ht="12.75">
      <c r="B75" s="16" t="s">
        <v>46</v>
      </c>
      <c r="E75" s="16">
        <v>129000</v>
      </c>
    </row>
    <row r="76" ht="12.75">
      <c r="E76" s="16" t="s">
        <v>39</v>
      </c>
    </row>
    <row r="77" ht="12.75">
      <c r="A77" s="28" t="s">
        <v>98</v>
      </c>
    </row>
  </sheetData>
  <sheetProtection/>
  <mergeCells count="12">
    <mergeCell ref="I10:M10"/>
    <mergeCell ref="A31:M31"/>
    <mergeCell ref="A59:M59"/>
    <mergeCell ref="F61:I61"/>
    <mergeCell ref="A69:M69"/>
    <mergeCell ref="A71:M71"/>
    <mergeCell ref="A1:M1"/>
    <mergeCell ref="A2:M2"/>
    <mergeCell ref="A3:M3"/>
    <mergeCell ref="A4:M4"/>
    <mergeCell ref="A5:M5"/>
    <mergeCell ref="A8:M8"/>
  </mergeCells>
  <hyperlinks>
    <hyperlink ref="A4" r:id="rId1" display="www.batavia-downs.com"/>
  </hyperlinks>
  <printOptions/>
  <pageMargins left="0.25" right="0.25" top="0.75" bottom="0.5" header="0.5" footer="0.5"/>
  <pageSetup fitToHeight="1" fitToWidth="1" horizontalDpi="600" verticalDpi="600" orientation="portrait" scale="70" r:id="rId3"/>
  <drawing r:id="rId2"/>
</worksheet>
</file>

<file path=xl/worksheets/sheet13.xml><?xml version="1.0" encoding="utf-8"?>
<worksheet xmlns="http://schemas.openxmlformats.org/spreadsheetml/2006/main" xmlns:r="http://schemas.openxmlformats.org/officeDocument/2006/relationships">
  <sheetPr>
    <pageSetUpPr fitToPage="1"/>
  </sheetPr>
  <dimension ref="A1:M77"/>
  <sheetViews>
    <sheetView zoomScalePageLayoutView="0" workbookViewId="0" topLeftCell="A1">
      <selection activeCell="B28" sqref="B28"/>
    </sheetView>
  </sheetViews>
  <sheetFormatPr defaultColWidth="9.140625" defaultRowHeight="12.75"/>
  <cols>
    <col min="1" max="1" width="9.28125" style="3" customWidth="1"/>
    <col min="2" max="3" width="13.140625" style="16" customWidth="1"/>
    <col min="4" max="4" width="13.7109375" style="16" customWidth="1"/>
    <col min="5" max="5" width="12.7109375" style="16" customWidth="1"/>
    <col min="6" max="6" width="8.8515625" style="17" customWidth="1"/>
    <col min="7" max="7" width="10.28125" style="16" customWidth="1"/>
    <col min="8" max="8" width="1.421875" style="16" customWidth="1"/>
    <col min="9" max="9" width="12.421875" style="16" customWidth="1"/>
    <col min="10" max="10" width="12.8515625" style="16" customWidth="1"/>
    <col min="11" max="12" width="13.7109375" style="16" customWidth="1"/>
    <col min="13" max="13" width="13.28125" style="16" customWidth="1"/>
    <col min="14" max="14" width="12.7109375" style="0" customWidth="1"/>
  </cols>
  <sheetData>
    <row r="1" spans="1:13" ht="18">
      <c r="A1" s="136" t="s">
        <v>60</v>
      </c>
      <c r="B1" s="136"/>
      <c r="C1" s="136"/>
      <c r="D1" s="136"/>
      <c r="E1" s="136"/>
      <c r="F1" s="136"/>
      <c r="G1" s="136"/>
      <c r="H1" s="136"/>
      <c r="I1" s="136"/>
      <c r="J1" s="136"/>
      <c r="K1" s="136"/>
      <c r="L1" s="136"/>
      <c r="M1" s="136"/>
    </row>
    <row r="2" spans="1:13" ht="15">
      <c r="A2" s="137" t="s">
        <v>0</v>
      </c>
      <c r="B2" s="137"/>
      <c r="C2" s="137"/>
      <c r="D2" s="137"/>
      <c r="E2" s="137"/>
      <c r="F2" s="137"/>
      <c r="G2" s="137"/>
      <c r="H2" s="137"/>
      <c r="I2" s="137"/>
      <c r="J2" s="137"/>
      <c r="K2" s="137"/>
      <c r="L2" s="137"/>
      <c r="M2" s="137"/>
    </row>
    <row r="3" spans="1:13" s="1" customFormat="1" ht="15">
      <c r="A3" s="137" t="s">
        <v>1</v>
      </c>
      <c r="B3" s="137"/>
      <c r="C3" s="137"/>
      <c r="D3" s="137"/>
      <c r="E3" s="137"/>
      <c r="F3" s="137"/>
      <c r="G3" s="137"/>
      <c r="H3" s="137"/>
      <c r="I3" s="137"/>
      <c r="J3" s="137"/>
      <c r="K3" s="137"/>
      <c r="L3" s="137"/>
      <c r="M3" s="137"/>
    </row>
    <row r="4" spans="1:13" s="1" customFormat="1" ht="14.25">
      <c r="A4" s="124" t="s">
        <v>2</v>
      </c>
      <c r="B4" s="124"/>
      <c r="C4" s="124"/>
      <c r="D4" s="124"/>
      <c r="E4" s="124"/>
      <c r="F4" s="124"/>
      <c r="G4" s="124"/>
      <c r="H4" s="124"/>
      <c r="I4" s="124"/>
      <c r="J4" s="124"/>
      <c r="K4" s="124"/>
      <c r="L4" s="124"/>
      <c r="M4" s="124"/>
    </row>
    <row r="5" spans="1:13" s="1" customFormat="1" ht="14.25">
      <c r="A5" s="138" t="s">
        <v>3</v>
      </c>
      <c r="B5" s="138"/>
      <c r="C5" s="138"/>
      <c r="D5" s="138"/>
      <c r="E5" s="138"/>
      <c r="F5" s="138"/>
      <c r="G5" s="138"/>
      <c r="H5" s="138"/>
      <c r="I5" s="138"/>
      <c r="J5" s="138"/>
      <c r="K5" s="138"/>
      <c r="L5" s="138"/>
      <c r="M5" s="138"/>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129" t="s">
        <v>73</v>
      </c>
      <c r="B8" s="130"/>
      <c r="C8" s="130"/>
      <c r="D8" s="130"/>
      <c r="E8" s="130"/>
      <c r="F8" s="130"/>
      <c r="G8" s="130"/>
      <c r="H8" s="130"/>
      <c r="I8" s="130"/>
      <c r="J8" s="130"/>
      <c r="K8" s="130"/>
      <c r="L8" s="130"/>
      <c r="M8" s="131"/>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128" t="s">
        <v>5</v>
      </c>
      <c r="J10" s="128"/>
      <c r="K10" s="128"/>
      <c r="L10" s="128"/>
      <c r="M10" s="128"/>
    </row>
    <row r="11" spans="1:13" s="1" customFormat="1" ht="12.75">
      <c r="A11" s="3"/>
      <c r="B11" s="5"/>
      <c r="C11" s="5"/>
      <c r="D11" s="5"/>
      <c r="E11" s="5"/>
      <c r="F11" s="6"/>
      <c r="G11" s="5"/>
      <c r="H11" s="5"/>
      <c r="I11" s="5"/>
      <c r="J11" s="5"/>
      <c r="K11" s="5"/>
      <c r="L11" s="5"/>
      <c r="M11" s="5"/>
    </row>
    <row r="12" spans="1:13" s="12" customFormat="1" ht="12">
      <c r="A12" s="9"/>
      <c r="B12" s="10" t="s">
        <v>6</v>
      </c>
      <c r="C12" s="10" t="s">
        <v>72</v>
      </c>
      <c r="D12" s="10" t="s">
        <v>6</v>
      </c>
      <c r="E12" s="10"/>
      <c r="F12" s="11" t="s">
        <v>7</v>
      </c>
      <c r="G12" s="10" t="s">
        <v>8</v>
      </c>
      <c r="H12" s="10"/>
      <c r="I12" s="10" t="s">
        <v>9</v>
      </c>
      <c r="J12" s="10" t="s">
        <v>83</v>
      </c>
      <c r="K12" s="10" t="s">
        <v>10</v>
      </c>
      <c r="L12" s="10" t="s">
        <v>84</v>
      </c>
      <c r="M12" s="10" t="s">
        <v>49</v>
      </c>
    </row>
    <row r="13" spans="1:13" s="12" customFormat="1" ht="12">
      <c r="A13" s="13" t="s">
        <v>11</v>
      </c>
      <c r="B13" s="8" t="s">
        <v>12</v>
      </c>
      <c r="C13" s="8" t="s">
        <v>19</v>
      </c>
      <c r="D13" s="8" t="s">
        <v>13</v>
      </c>
      <c r="E13" s="8" t="s">
        <v>14</v>
      </c>
      <c r="F13" s="14" t="s">
        <v>15</v>
      </c>
      <c r="G13" s="8" t="s">
        <v>16</v>
      </c>
      <c r="H13" s="15"/>
      <c r="I13" s="8" t="s">
        <v>17</v>
      </c>
      <c r="J13" s="8" t="s">
        <v>18</v>
      </c>
      <c r="K13" s="8" t="s">
        <v>19</v>
      </c>
      <c r="L13" s="8" t="s">
        <v>85</v>
      </c>
      <c r="M13" s="8" t="s">
        <v>50</v>
      </c>
    </row>
    <row r="15" spans="1:13" ht="12.75">
      <c r="A15" s="3">
        <v>40634</v>
      </c>
      <c r="B15" s="16">
        <v>39535493.9</v>
      </c>
      <c r="C15" s="16">
        <v>89716.93</v>
      </c>
      <c r="D15" s="16">
        <f aca="true" t="shared" si="0" ref="D15:D26">+B15-C15-E15</f>
        <v>36045256.48</v>
      </c>
      <c r="E15" s="16">
        <v>3400520.49</v>
      </c>
      <c r="F15" s="17">
        <v>607</v>
      </c>
      <c r="G15" s="16">
        <f>E15/F15/30</f>
        <v>186.73918121911038</v>
      </c>
      <c r="I15" s="16">
        <v>1394213.41</v>
      </c>
      <c r="J15" s="16">
        <v>1190182.18</v>
      </c>
      <c r="K15" s="16">
        <v>340052.03</v>
      </c>
      <c r="L15" s="16">
        <v>340052.03</v>
      </c>
      <c r="M15" s="16">
        <v>136020.81</v>
      </c>
    </row>
    <row r="16" spans="1:13" ht="12.75">
      <c r="A16" s="3">
        <v>40664</v>
      </c>
      <c r="B16" s="16">
        <v>42784212.76</v>
      </c>
      <c r="C16" s="16">
        <v>174285.36</v>
      </c>
      <c r="D16" s="16">
        <f t="shared" si="0"/>
        <v>39053453.269999996</v>
      </c>
      <c r="E16" s="16">
        <v>3556474.13</v>
      </c>
      <c r="F16" s="17">
        <v>607</v>
      </c>
      <c r="G16" s="16">
        <f>E16/F16/31</f>
        <v>189.00324865812829</v>
      </c>
      <c r="I16" s="16">
        <v>1458154.42</v>
      </c>
      <c r="J16" s="16">
        <v>1244765.95</v>
      </c>
      <c r="K16" s="16">
        <v>355647.45</v>
      </c>
      <c r="L16" s="16">
        <v>355647.45</v>
      </c>
      <c r="M16" s="16">
        <v>142258.98</v>
      </c>
    </row>
    <row r="17" spans="1:13" ht="12.75">
      <c r="A17" s="3">
        <v>40695</v>
      </c>
      <c r="B17" s="16">
        <v>37016006.45</v>
      </c>
      <c r="C17" s="16">
        <v>126776.36</v>
      </c>
      <c r="D17" s="16">
        <f t="shared" si="0"/>
        <v>33863371.470000006</v>
      </c>
      <c r="E17" s="16">
        <v>3025858.62</v>
      </c>
      <c r="F17" s="17">
        <v>607</v>
      </c>
      <c r="G17" s="16">
        <f>E17/F17/30</f>
        <v>166.16466886326194</v>
      </c>
      <c r="I17" s="16">
        <v>1240602.04</v>
      </c>
      <c r="J17" s="16">
        <v>1059050.52</v>
      </c>
      <c r="K17" s="16">
        <v>302585.87</v>
      </c>
      <c r="L17" s="16">
        <v>302585.87</v>
      </c>
      <c r="M17" s="16">
        <v>121034.33</v>
      </c>
    </row>
    <row r="18" spans="1:13" ht="12.75">
      <c r="A18" s="3">
        <v>40725</v>
      </c>
      <c r="B18" s="16">
        <v>42810517.17</v>
      </c>
      <c r="C18" s="16">
        <f>215977.37-17616.27</f>
        <v>198361.1</v>
      </c>
      <c r="D18" s="16">
        <f t="shared" si="0"/>
        <v>39059990.3</v>
      </c>
      <c r="E18" s="16">
        <v>3552165.77</v>
      </c>
      <c r="F18" s="17">
        <v>607</v>
      </c>
      <c r="G18" s="16">
        <f>E18/F18/31</f>
        <v>188.7742876122655</v>
      </c>
      <c r="I18" s="16">
        <v>1456387.98</v>
      </c>
      <c r="J18" s="16">
        <v>1243258.04</v>
      </c>
      <c r="K18" s="16">
        <v>355216.59</v>
      </c>
      <c r="L18" s="16">
        <v>355216.59</v>
      </c>
      <c r="M18" s="16">
        <v>142086.64</v>
      </c>
    </row>
    <row r="19" spans="1:13" ht="12.75">
      <c r="A19" s="3">
        <v>40756</v>
      </c>
      <c r="B19" s="16">
        <v>42514754.97</v>
      </c>
      <c r="C19" s="16">
        <f>170017.73-7810</f>
        <v>162207.73</v>
      </c>
      <c r="D19" s="16">
        <f t="shared" si="0"/>
        <v>38768490.370000005</v>
      </c>
      <c r="E19" s="16">
        <v>3584056.87</v>
      </c>
      <c r="F19" s="17">
        <v>607</v>
      </c>
      <c r="G19" s="16">
        <f>E19/F19/31</f>
        <v>190.46909018440772</v>
      </c>
      <c r="I19" s="16">
        <v>1469463.34</v>
      </c>
      <c r="J19" s="16">
        <v>1254419.95</v>
      </c>
      <c r="K19" s="16">
        <v>358405.71</v>
      </c>
      <c r="L19" s="16">
        <v>358405.71</v>
      </c>
      <c r="M19" s="16">
        <v>143362.28</v>
      </c>
    </row>
    <row r="20" spans="1:13" ht="12.75">
      <c r="A20" s="3">
        <v>40787</v>
      </c>
      <c r="B20" s="16">
        <v>41117158.32</v>
      </c>
      <c r="C20" s="16">
        <f>216690.92-15957.81</f>
        <v>200733.11000000002</v>
      </c>
      <c r="D20" s="16">
        <f t="shared" si="0"/>
        <v>37526868.92</v>
      </c>
      <c r="E20" s="16">
        <v>3389556.29</v>
      </c>
      <c r="F20" s="17">
        <v>607</v>
      </c>
      <c r="G20" s="16">
        <f>E20/F20/30</f>
        <v>186.13708347062052</v>
      </c>
      <c r="I20" s="16">
        <v>1389718.09</v>
      </c>
      <c r="J20" s="16">
        <v>1186344.71</v>
      </c>
      <c r="K20" s="16">
        <v>338955.65</v>
      </c>
      <c r="L20" s="16">
        <v>338955.65</v>
      </c>
      <c r="M20" s="16">
        <v>135582.24</v>
      </c>
    </row>
    <row r="21" spans="1:13" ht="12.75">
      <c r="A21" s="3">
        <v>40817</v>
      </c>
      <c r="B21" s="16">
        <v>40039788.15</v>
      </c>
      <c r="C21" s="16">
        <f>237885.72-17496.6</f>
        <v>220389.12</v>
      </c>
      <c r="D21" s="16">
        <f t="shared" si="0"/>
        <v>36564086.46</v>
      </c>
      <c r="E21" s="16">
        <v>3255312.57</v>
      </c>
      <c r="F21" s="17">
        <v>607</v>
      </c>
      <c r="G21" s="16">
        <f>E21/F21/31</f>
        <v>172.9984891321677</v>
      </c>
      <c r="I21" s="16">
        <v>1334678.17</v>
      </c>
      <c r="J21" s="16">
        <v>1139359.4</v>
      </c>
      <c r="K21" s="16">
        <v>325531.31</v>
      </c>
      <c r="L21" s="16">
        <v>325531.29</v>
      </c>
      <c r="M21" s="16">
        <v>130212.5</v>
      </c>
    </row>
    <row r="22" spans="1:13" ht="12.75">
      <c r="A22" s="3">
        <v>40848</v>
      </c>
      <c r="B22" s="16">
        <v>40228273.82</v>
      </c>
      <c r="C22" s="16">
        <f>253733.94-24265</f>
        <v>229468.94</v>
      </c>
      <c r="D22" s="16">
        <f t="shared" si="0"/>
        <v>36649297.910000004</v>
      </c>
      <c r="E22" s="16">
        <v>3349506.97</v>
      </c>
      <c r="F22" s="17">
        <v>607</v>
      </c>
      <c r="G22" s="16">
        <f>E22/F22/30</f>
        <v>183.93777979132346</v>
      </c>
      <c r="I22" s="16">
        <v>1373297.86</v>
      </c>
      <c r="J22" s="16">
        <v>1172327.43</v>
      </c>
      <c r="K22" s="16">
        <v>334950.71</v>
      </c>
      <c r="L22" s="16">
        <v>334950.71</v>
      </c>
      <c r="M22" s="16">
        <v>133980.26</v>
      </c>
    </row>
    <row r="23" spans="1:13" ht="12.75">
      <c r="A23" s="3">
        <v>40878</v>
      </c>
      <c r="B23" s="16">
        <v>41082161.45</v>
      </c>
      <c r="C23" s="16">
        <f>337706.06-24241.75</f>
        <v>313464.31</v>
      </c>
      <c r="D23" s="16">
        <f t="shared" si="0"/>
        <v>37460691.96</v>
      </c>
      <c r="E23" s="16">
        <v>3308005.18</v>
      </c>
      <c r="F23" s="17">
        <v>607.3870967741935</v>
      </c>
      <c r="G23" s="16">
        <f>E23/F23/31</f>
        <v>175.68671623559405</v>
      </c>
      <c r="I23" s="16">
        <v>1356282.12</v>
      </c>
      <c r="J23" s="16">
        <v>1157801.8</v>
      </c>
      <c r="K23" s="16">
        <v>330800.52</v>
      </c>
      <c r="L23" s="16">
        <v>330800.52</v>
      </c>
      <c r="M23" s="16">
        <v>132320.22</v>
      </c>
    </row>
    <row r="24" spans="1:13" ht="12.75">
      <c r="A24" s="3">
        <v>40909</v>
      </c>
      <c r="B24" s="16">
        <v>37147289.67</v>
      </c>
      <c r="C24" s="16">
        <f>238937.8-25623</f>
        <v>213314.8</v>
      </c>
      <c r="D24" s="16">
        <f t="shared" si="0"/>
        <v>33857488.81</v>
      </c>
      <c r="E24" s="16">
        <v>3076486.06</v>
      </c>
      <c r="F24" s="17">
        <v>582.0967741935484</v>
      </c>
      <c r="G24" s="16">
        <f>E24/F24/31</f>
        <v>170.48966805209201</v>
      </c>
      <c r="I24" s="16">
        <v>1261359.27</v>
      </c>
      <c r="J24" s="16">
        <v>1076770.13</v>
      </c>
      <c r="K24" s="16">
        <v>307648.62</v>
      </c>
      <c r="L24" s="16">
        <v>307648.62</v>
      </c>
      <c r="M24" s="16">
        <v>123059.45</v>
      </c>
    </row>
    <row r="25" spans="1:13" ht="12.75">
      <c r="A25" s="3">
        <v>40940</v>
      </c>
      <c r="B25" s="16">
        <v>48867681.91</v>
      </c>
      <c r="C25" s="16">
        <f>471501.55-54332.5</f>
        <v>417169.05</v>
      </c>
      <c r="D25" s="16">
        <f t="shared" si="0"/>
        <v>44408389.339999996</v>
      </c>
      <c r="E25" s="16">
        <v>4042123.52</v>
      </c>
      <c r="F25" s="17">
        <v>635.9310344827586</v>
      </c>
      <c r="G25" s="16">
        <f>E25/F25/29</f>
        <v>219.1803231753606</v>
      </c>
      <c r="I25" s="16">
        <v>1657270.63</v>
      </c>
      <c r="J25" s="16">
        <v>1414743.25</v>
      </c>
      <c r="K25" s="16">
        <v>404212.36</v>
      </c>
      <c r="L25" s="16">
        <v>404212.36</v>
      </c>
      <c r="M25" s="16">
        <v>161684.92</v>
      </c>
    </row>
    <row r="26" spans="1:13" ht="12.75">
      <c r="A26" s="3">
        <v>40969</v>
      </c>
      <c r="B26" s="16">
        <v>50506047.28</v>
      </c>
      <c r="C26" s="16">
        <f>516073.84-28960</f>
        <v>487113.84</v>
      </c>
      <c r="D26" s="16">
        <f t="shared" si="0"/>
        <v>46096473.93</v>
      </c>
      <c r="E26" s="16">
        <v>3922459.51</v>
      </c>
      <c r="F26" s="17">
        <v>640</v>
      </c>
      <c r="G26" s="16">
        <f>E26/F26/31</f>
        <v>197.70461239919354</v>
      </c>
      <c r="I26" s="16">
        <v>1608208.4</v>
      </c>
      <c r="J26" s="16">
        <v>1372860.84</v>
      </c>
      <c r="K26" s="16">
        <v>392245.94</v>
      </c>
      <c r="L26" s="16">
        <v>392245.94</v>
      </c>
      <c r="M26" s="16">
        <v>156898.39</v>
      </c>
    </row>
    <row r="27" spans="1:13" ht="13.5" thickBot="1">
      <c r="A27" s="3" t="s">
        <v>20</v>
      </c>
      <c r="B27" s="18">
        <f>SUM(B15:B26)</f>
        <v>503649385.8499999</v>
      </c>
      <c r="C27" s="18">
        <f>SUM(C15:C26)</f>
        <v>2833000.65</v>
      </c>
      <c r="D27" s="18">
        <f>SUM(D15:D26)</f>
        <v>459353859.21999997</v>
      </c>
      <c r="E27" s="18">
        <f>SUM(E15:E26)</f>
        <v>41462525.98</v>
      </c>
      <c r="I27" s="18">
        <f>SUM(I15:I26)</f>
        <v>16999635.729999997</v>
      </c>
      <c r="J27" s="18">
        <f>SUM(J15:J26)</f>
        <v>14511884.2</v>
      </c>
      <c r="K27" s="18">
        <f>SUM(K15:K26)</f>
        <v>4146252.76</v>
      </c>
      <c r="L27" s="18">
        <f>SUM(L15:L26)</f>
        <v>4146252.7399999998</v>
      </c>
      <c r="M27" s="18">
        <f>SUM(M15:M26)</f>
        <v>1658501.02</v>
      </c>
    </row>
    <row r="28" spans="2:13" ht="10.5" customHeight="1" thickTop="1">
      <c r="B28" s="19"/>
      <c r="C28" s="19"/>
      <c r="D28" s="19"/>
      <c r="E28" s="19"/>
      <c r="I28" s="19"/>
      <c r="J28" s="19"/>
      <c r="K28" s="19"/>
      <c r="L28" s="19"/>
      <c r="M28" s="19"/>
    </row>
    <row r="29" spans="1:13" s="22" customFormat="1" ht="12.75">
      <c r="A29" s="20"/>
      <c r="B29" s="21"/>
      <c r="C29" s="21">
        <f>C27/B27</f>
        <v>0.0056249461025725195</v>
      </c>
      <c r="D29" s="21">
        <f>D27/B27</f>
        <v>0.912050867380205</v>
      </c>
      <c r="E29" s="21">
        <f>E27/B27</f>
        <v>0.08232418651722258</v>
      </c>
      <c r="I29" s="21">
        <f>I27/$E$27</f>
        <v>0.41000000188604036</v>
      </c>
      <c r="J29" s="21">
        <f>J27/$E$27</f>
        <v>0.35000000258064357</v>
      </c>
      <c r="K29" s="21">
        <f>K27/$E$27</f>
        <v>0.10000000390714256</v>
      </c>
      <c r="L29" s="21">
        <f>L27/$E$27</f>
        <v>0.10000000342477929</v>
      </c>
      <c r="M29" s="21">
        <f>M27/$E$27</f>
        <v>0.03999999953693126</v>
      </c>
    </row>
    <row r="31" spans="1:13" s="23" customFormat="1" ht="12.75">
      <c r="A31" s="129" t="s">
        <v>21</v>
      </c>
      <c r="B31" s="130"/>
      <c r="C31" s="130"/>
      <c r="D31" s="130"/>
      <c r="E31" s="130"/>
      <c r="F31" s="130"/>
      <c r="G31" s="130"/>
      <c r="H31" s="130"/>
      <c r="I31" s="130"/>
      <c r="J31" s="130"/>
      <c r="K31" s="130"/>
      <c r="L31" s="130"/>
      <c r="M31" s="131"/>
    </row>
    <row r="32" ht="12.75">
      <c r="A32" s="24"/>
    </row>
    <row r="33" spans="1:12" s="49" customFormat="1" ht="12.75" customHeight="1">
      <c r="A33" s="45" t="s">
        <v>22</v>
      </c>
      <c r="B33" s="46"/>
      <c r="C33" s="57" t="s">
        <v>94</v>
      </c>
      <c r="D33" s="58"/>
      <c r="E33" s="58"/>
      <c r="F33" s="58"/>
      <c r="G33" s="58"/>
      <c r="H33" s="58"/>
      <c r="I33" s="58"/>
      <c r="J33" s="58"/>
      <c r="K33" s="58"/>
      <c r="L33" s="58"/>
    </row>
    <row r="34" spans="1:12" s="49" customFormat="1" ht="12.75" customHeight="1">
      <c r="A34" s="45"/>
      <c r="B34" s="46"/>
      <c r="C34" s="57" t="s">
        <v>95</v>
      </c>
      <c r="D34" s="58"/>
      <c r="E34" s="58"/>
      <c r="F34" s="58"/>
      <c r="G34" s="58"/>
      <c r="H34" s="58"/>
      <c r="I34" s="58"/>
      <c r="J34" s="58"/>
      <c r="K34" s="58"/>
      <c r="L34" s="58"/>
    </row>
    <row r="35" spans="1:13" ht="6" customHeight="1">
      <c r="A35" s="25"/>
      <c r="B35" s="26"/>
      <c r="C35" s="26"/>
      <c r="D35" s="43"/>
      <c r="E35" s="43"/>
      <c r="F35" s="43"/>
      <c r="G35" s="43"/>
      <c r="H35" s="43"/>
      <c r="I35" s="43"/>
      <c r="J35" s="43"/>
      <c r="K35" s="43"/>
      <c r="L35" s="43"/>
      <c r="M35"/>
    </row>
    <row r="36" spans="1:13" ht="12.75">
      <c r="A36" s="25" t="s">
        <v>97</v>
      </c>
      <c r="B36" s="26"/>
      <c r="C36" s="26" t="s">
        <v>87</v>
      </c>
      <c r="F36" s="26"/>
      <c r="G36" s="26"/>
      <c r="H36" s="26"/>
      <c r="I36" s="26"/>
      <c r="J36" s="26"/>
      <c r="K36" s="26"/>
      <c r="L36" s="26"/>
      <c r="M36" s="26"/>
    </row>
    <row r="37" spans="1:13" ht="6" customHeight="1">
      <c r="A37" s="25"/>
      <c r="B37" s="26"/>
      <c r="C37" s="26"/>
      <c r="D37" s="26"/>
      <c r="F37" s="26"/>
      <c r="G37" s="26"/>
      <c r="H37" s="26"/>
      <c r="I37" s="26"/>
      <c r="J37" s="26"/>
      <c r="K37" s="26"/>
      <c r="L37" s="26"/>
      <c r="M37" s="26"/>
    </row>
    <row r="38" spans="1:13" ht="12.75">
      <c r="A38" s="25" t="s">
        <v>23</v>
      </c>
      <c r="B38" s="26"/>
      <c r="C38" s="26" t="s">
        <v>24</v>
      </c>
      <c r="F38" s="26"/>
      <c r="G38" s="26"/>
      <c r="H38" s="26"/>
      <c r="I38" s="26"/>
      <c r="J38" s="26"/>
      <c r="K38" s="26"/>
      <c r="L38" s="26"/>
      <c r="M38" s="26"/>
    </row>
    <row r="39" spans="1:13" ht="6" customHeight="1">
      <c r="A39" s="25"/>
      <c r="B39" s="26"/>
      <c r="C39" s="26"/>
      <c r="F39" s="26"/>
      <c r="G39" s="26"/>
      <c r="H39" s="26"/>
      <c r="I39" s="26"/>
      <c r="J39" s="26"/>
      <c r="K39" s="26"/>
      <c r="L39" s="26"/>
      <c r="M39" s="26"/>
    </row>
    <row r="40" spans="1:13" ht="12.75">
      <c r="A40" s="25" t="s">
        <v>25</v>
      </c>
      <c r="B40" s="26"/>
      <c r="C40" s="26" t="s">
        <v>64</v>
      </c>
      <c r="F40" s="27"/>
      <c r="G40" s="26"/>
      <c r="H40" s="26"/>
      <c r="I40" s="26"/>
      <c r="J40" s="26"/>
      <c r="K40" s="26"/>
      <c r="L40" s="26"/>
      <c r="M40" s="26"/>
    </row>
    <row r="41" spans="1:13" ht="12.75">
      <c r="A41" s="25"/>
      <c r="B41" s="26"/>
      <c r="C41" s="26" t="s">
        <v>63</v>
      </c>
      <c r="F41" s="27"/>
      <c r="G41" s="26"/>
      <c r="H41" s="26"/>
      <c r="I41" s="26"/>
      <c r="J41" s="26"/>
      <c r="K41" s="26"/>
      <c r="L41" s="26"/>
      <c r="M41" s="26"/>
    </row>
    <row r="42" spans="1:13" ht="6" customHeight="1">
      <c r="A42" s="25"/>
      <c r="B42" s="26"/>
      <c r="C42" s="26"/>
      <c r="F42" s="27"/>
      <c r="G42" s="26"/>
      <c r="H42" s="26"/>
      <c r="I42" s="26"/>
      <c r="J42" s="26"/>
      <c r="K42" s="26"/>
      <c r="L42" s="26"/>
      <c r="M42" s="26"/>
    </row>
    <row r="43" spans="1:13" ht="12.75">
      <c r="A43" s="25" t="s">
        <v>28</v>
      </c>
      <c r="B43" s="26"/>
      <c r="C43" s="26" t="s">
        <v>29</v>
      </c>
      <c r="F43" s="27"/>
      <c r="G43" s="26"/>
      <c r="H43" s="26"/>
      <c r="I43" s="26"/>
      <c r="J43" s="26"/>
      <c r="K43" s="26"/>
      <c r="L43" s="26"/>
      <c r="M43" s="26"/>
    </row>
    <row r="44" spans="1:13" ht="6" customHeight="1">
      <c r="A44" s="25"/>
      <c r="B44" s="26"/>
      <c r="C44" s="26"/>
      <c r="D44" s="26"/>
      <c r="F44" s="27"/>
      <c r="G44" s="26"/>
      <c r="H44" s="26"/>
      <c r="I44" s="26"/>
      <c r="J44" s="26"/>
      <c r="K44" s="26"/>
      <c r="L44" s="26"/>
      <c r="M44" s="26"/>
    </row>
    <row r="45" spans="1:12" s="49" customFormat="1" ht="12.75">
      <c r="A45" s="45" t="s">
        <v>74</v>
      </c>
      <c r="B45" s="46"/>
      <c r="C45" s="46" t="s">
        <v>75</v>
      </c>
      <c r="D45" s="47"/>
      <c r="E45" s="48"/>
      <c r="F45" s="46"/>
      <c r="G45" s="46"/>
      <c r="H45" s="46"/>
      <c r="I45" s="46"/>
      <c r="J45" s="46"/>
      <c r="K45" s="46"/>
      <c r="L45" s="46"/>
    </row>
    <row r="46" spans="1:12" s="49" customFormat="1" ht="12.75">
      <c r="A46" s="45"/>
      <c r="B46" s="46"/>
      <c r="C46" s="46" t="s">
        <v>81</v>
      </c>
      <c r="D46" s="47"/>
      <c r="E46" s="48"/>
      <c r="F46" s="46"/>
      <c r="G46" s="46"/>
      <c r="H46" s="46"/>
      <c r="I46" s="46"/>
      <c r="J46" s="46"/>
      <c r="K46" s="46"/>
      <c r="L46" s="46"/>
    </row>
    <row r="47" spans="1:12" s="49" customFormat="1" ht="12.75">
      <c r="A47" s="45"/>
      <c r="B47" s="46"/>
      <c r="C47" s="46" t="s">
        <v>82</v>
      </c>
      <c r="D47" s="47"/>
      <c r="E47" s="48"/>
      <c r="F47" s="46"/>
      <c r="G47" s="46"/>
      <c r="H47" s="46"/>
      <c r="I47" s="46"/>
      <c r="J47" s="46"/>
      <c r="K47" s="46"/>
      <c r="L47" s="46"/>
    </row>
    <row r="48" spans="1:13" ht="6" customHeight="1">
      <c r="A48" s="25"/>
      <c r="B48" s="26"/>
      <c r="C48" s="26"/>
      <c r="D48" s="26"/>
      <c r="F48" s="27"/>
      <c r="G48" s="26"/>
      <c r="H48" s="26"/>
      <c r="I48" s="26"/>
      <c r="J48" s="26"/>
      <c r="K48" s="26"/>
      <c r="L48" s="26"/>
      <c r="M48" s="26"/>
    </row>
    <row r="49" spans="1:12" s="49" customFormat="1" ht="12.75">
      <c r="A49" s="45" t="s">
        <v>30</v>
      </c>
      <c r="B49" s="46"/>
      <c r="C49" s="46" t="s">
        <v>76</v>
      </c>
      <c r="D49" s="47"/>
      <c r="E49" s="48"/>
      <c r="F49" s="46"/>
      <c r="G49" s="46"/>
      <c r="H49" s="46"/>
      <c r="I49" s="46"/>
      <c r="J49" s="46"/>
      <c r="K49" s="46"/>
      <c r="L49" s="46"/>
    </row>
    <row r="50" spans="1:12" s="49" customFormat="1" ht="12.75">
      <c r="A50" s="45"/>
      <c r="B50" s="46"/>
      <c r="C50" s="46" t="s">
        <v>77</v>
      </c>
      <c r="D50" s="47"/>
      <c r="E50" s="48"/>
      <c r="F50" s="46"/>
      <c r="G50" s="46"/>
      <c r="H50" s="46"/>
      <c r="I50" s="46"/>
      <c r="J50" s="46"/>
      <c r="K50" s="46"/>
      <c r="L50" s="46"/>
    </row>
    <row r="51" spans="1:13" ht="6" customHeight="1">
      <c r="A51" s="25"/>
      <c r="B51" s="26"/>
      <c r="C51" s="26"/>
      <c r="D51" s="26"/>
      <c r="F51" s="27"/>
      <c r="G51" s="26"/>
      <c r="H51" s="26"/>
      <c r="I51" s="26"/>
      <c r="J51" s="26"/>
      <c r="K51" s="26"/>
      <c r="L51" s="26"/>
      <c r="M51" s="26"/>
    </row>
    <row r="52" spans="1:12" s="49" customFormat="1" ht="12.75">
      <c r="A52" s="45" t="s">
        <v>86</v>
      </c>
      <c r="B52" s="46"/>
      <c r="C52" s="46" t="s">
        <v>79</v>
      </c>
      <c r="D52" s="47"/>
      <c r="E52" s="48"/>
      <c r="F52" s="46"/>
      <c r="G52" s="46"/>
      <c r="H52" s="46"/>
      <c r="I52" s="46"/>
      <c r="J52" s="46"/>
      <c r="K52" s="46"/>
      <c r="L52" s="46"/>
    </row>
    <row r="53" spans="1:12" s="49" customFormat="1" ht="12.75">
      <c r="A53" s="50"/>
      <c r="B53" s="46"/>
      <c r="C53" s="46" t="s">
        <v>80</v>
      </c>
      <c r="D53" s="47"/>
      <c r="E53" s="48"/>
      <c r="F53" s="46"/>
      <c r="G53" s="46"/>
      <c r="H53" s="46"/>
      <c r="I53" s="46"/>
      <c r="J53" s="46"/>
      <c r="K53" s="46"/>
      <c r="L53" s="46"/>
    </row>
    <row r="54" spans="1:13" ht="6" customHeight="1">
      <c r="A54" s="29"/>
      <c r="B54" s="30"/>
      <c r="C54" s="30"/>
      <c r="D54" s="30"/>
      <c r="E54" s="30"/>
      <c r="F54" s="31"/>
      <c r="G54" s="30"/>
      <c r="H54" s="30"/>
      <c r="I54" s="30"/>
      <c r="J54" s="30"/>
      <c r="K54" s="30"/>
      <c r="L54" s="30"/>
      <c r="M54" s="30"/>
    </row>
    <row r="55" spans="1:12" ht="12.75">
      <c r="A55" s="25" t="s">
        <v>51</v>
      </c>
      <c r="B55" s="26"/>
      <c r="C55" s="26" t="s">
        <v>65</v>
      </c>
      <c r="F55" s="27"/>
      <c r="G55" s="26"/>
      <c r="H55" s="26"/>
      <c r="I55" s="26"/>
      <c r="J55" s="26"/>
      <c r="K55" s="26"/>
      <c r="L55" s="26"/>
    </row>
    <row r="56" spans="1:12" ht="12.75">
      <c r="A56" s="28"/>
      <c r="B56" s="26"/>
      <c r="C56" s="26" t="s">
        <v>67</v>
      </c>
      <c r="F56" s="27"/>
      <c r="G56" s="26"/>
      <c r="H56" s="26"/>
      <c r="I56" s="26"/>
      <c r="J56" s="26"/>
      <c r="K56" s="26"/>
      <c r="L56" s="26"/>
    </row>
    <row r="57" spans="1:12" ht="12.75">
      <c r="A57" s="28"/>
      <c r="B57" s="26"/>
      <c r="C57" s="26" t="s">
        <v>66</v>
      </c>
      <c r="F57" s="27"/>
      <c r="G57" s="26"/>
      <c r="H57" s="26"/>
      <c r="I57" s="26"/>
      <c r="J57" s="26"/>
      <c r="K57" s="26"/>
      <c r="L57" s="26"/>
    </row>
    <row r="58" spans="1:13" ht="12.75">
      <c r="A58" s="29"/>
      <c r="B58" s="30"/>
      <c r="C58" s="30"/>
      <c r="D58" s="30"/>
      <c r="E58" s="30"/>
      <c r="F58" s="31"/>
      <c r="G58" s="30"/>
      <c r="H58" s="30"/>
      <c r="I58" s="30"/>
      <c r="J58" s="30"/>
      <c r="K58" s="30"/>
      <c r="L58" s="30"/>
      <c r="M58" s="30"/>
    </row>
    <row r="59" spans="1:13" s="23" customFormat="1" ht="12.75">
      <c r="A59" s="129" t="s">
        <v>31</v>
      </c>
      <c r="B59" s="130"/>
      <c r="C59" s="130"/>
      <c r="D59" s="130"/>
      <c r="E59" s="130"/>
      <c r="F59" s="130"/>
      <c r="G59" s="130"/>
      <c r="H59" s="130"/>
      <c r="I59" s="130"/>
      <c r="J59" s="130"/>
      <c r="K59" s="130"/>
      <c r="L59" s="130"/>
      <c r="M59" s="131"/>
    </row>
    <row r="60" ht="12.75">
      <c r="A60" s="24"/>
    </row>
    <row r="61" spans="1:12" ht="13.5">
      <c r="A61" s="32"/>
      <c r="E61" s="10" t="s">
        <v>9</v>
      </c>
      <c r="F61" s="128" t="s">
        <v>88</v>
      </c>
      <c r="G61" s="128"/>
      <c r="H61" s="128"/>
      <c r="I61" s="128"/>
      <c r="J61" s="10" t="s">
        <v>10</v>
      </c>
      <c r="K61" s="10" t="s">
        <v>84</v>
      </c>
      <c r="L61" s="10" t="s">
        <v>49</v>
      </c>
    </row>
    <row r="62" spans="1:12" ht="12.75">
      <c r="A62" s="35"/>
      <c r="E62" s="8" t="s">
        <v>17</v>
      </c>
      <c r="F62" s="8" t="s">
        <v>89</v>
      </c>
      <c r="G62" s="53" t="s">
        <v>90</v>
      </c>
      <c r="H62" s="36"/>
      <c r="I62" s="8" t="s">
        <v>91</v>
      </c>
      <c r="J62" s="8" t="s">
        <v>19</v>
      </c>
      <c r="K62" s="8" t="s">
        <v>85</v>
      </c>
      <c r="L62" s="8" t="s">
        <v>50</v>
      </c>
    </row>
    <row r="63" spans="2:12" ht="12.75">
      <c r="B63" s="39" t="s">
        <v>35</v>
      </c>
      <c r="C63" s="39"/>
      <c r="D63" s="39"/>
      <c r="E63" s="54">
        <v>0.41</v>
      </c>
      <c r="F63" s="54">
        <v>0.25</v>
      </c>
      <c r="G63" s="55">
        <v>0.0875</v>
      </c>
      <c r="H63" s="56"/>
      <c r="I63" s="54">
        <v>0.0125</v>
      </c>
      <c r="J63" s="54">
        <v>0.1</v>
      </c>
      <c r="K63" s="54">
        <v>0.1</v>
      </c>
      <c r="L63" s="54">
        <v>0.04</v>
      </c>
    </row>
    <row r="64" spans="2:12" ht="12.75">
      <c r="B64" s="39" t="s">
        <v>58</v>
      </c>
      <c r="C64" s="39"/>
      <c r="D64" s="39"/>
      <c r="E64" s="54">
        <v>0.48</v>
      </c>
      <c r="F64" s="54">
        <v>0.18</v>
      </c>
      <c r="G64" s="55">
        <v>0.0875</v>
      </c>
      <c r="H64" s="56"/>
      <c r="I64" s="54">
        <v>0.0125</v>
      </c>
      <c r="J64" s="54">
        <v>0.1</v>
      </c>
      <c r="K64" s="54">
        <v>0.1</v>
      </c>
      <c r="L64" s="54">
        <v>0.04</v>
      </c>
    </row>
    <row r="65" spans="2:12" ht="12.75">
      <c r="B65" s="39" t="s">
        <v>59</v>
      </c>
      <c r="C65" s="39"/>
      <c r="D65" s="39"/>
      <c r="E65" s="54">
        <v>0.52</v>
      </c>
      <c r="F65" s="54">
        <v>0.18</v>
      </c>
      <c r="G65" s="55">
        <v>0.0875</v>
      </c>
      <c r="H65" s="56"/>
      <c r="I65" s="54">
        <v>0.0125</v>
      </c>
      <c r="J65" s="54">
        <v>0.1</v>
      </c>
      <c r="K65" s="54">
        <v>0.1</v>
      </c>
      <c r="L65" s="54">
        <v>0</v>
      </c>
    </row>
    <row r="66" spans="2:12" ht="12.75">
      <c r="B66" s="39" t="s">
        <v>37</v>
      </c>
      <c r="C66" s="39"/>
      <c r="D66" s="39"/>
      <c r="E66" s="54">
        <v>0.54</v>
      </c>
      <c r="F66" s="54">
        <v>0.18</v>
      </c>
      <c r="G66" s="55">
        <v>0.0875</v>
      </c>
      <c r="H66" s="56"/>
      <c r="I66" s="54">
        <v>0.0125</v>
      </c>
      <c r="J66" s="54">
        <v>0.08</v>
      </c>
      <c r="K66" s="54">
        <v>0.1</v>
      </c>
      <c r="L66" s="54">
        <v>0</v>
      </c>
    </row>
    <row r="67" spans="2:12" ht="12.75">
      <c r="B67" s="39" t="s">
        <v>38</v>
      </c>
      <c r="C67" s="39"/>
      <c r="D67" s="39"/>
      <c r="E67" s="54">
        <v>0.57</v>
      </c>
      <c r="F67" s="54">
        <v>0.15</v>
      </c>
      <c r="G67" s="55">
        <v>0.0875</v>
      </c>
      <c r="H67" s="56"/>
      <c r="I67" s="54">
        <v>0.0125</v>
      </c>
      <c r="J67" s="54">
        <v>0.08</v>
      </c>
      <c r="K67" s="54">
        <v>0.1</v>
      </c>
      <c r="L67" s="54">
        <v>0</v>
      </c>
    </row>
    <row r="68" spans="2:12" ht="12.75">
      <c r="B68" s="39"/>
      <c r="C68" s="39"/>
      <c r="D68" s="39"/>
      <c r="E68" s="26"/>
      <c r="F68" s="27"/>
      <c r="G68" s="40"/>
      <c r="H68" s="26"/>
      <c r="I68" s="40"/>
      <c r="J68" s="40"/>
      <c r="K68" s="40"/>
      <c r="L68" s="40"/>
    </row>
    <row r="69" spans="1:13" s="23" customFormat="1" ht="12.75">
      <c r="A69" s="132" t="s">
        <v>43</v>
      </c>
      <c r="B69" s="133"/>
      <c r="C69" s="133"/>
      <c r="D69" s="133"/>
      <c r="E69" s="133"/>
      <c r="F69" s="133"/>
      <c r="G69" s="133"/>
      <c r="H69" s="133"/>
      <c r="I69" s="133"/>
      <c r="J69" s="133"/>
      <c r="K69" s="133"/>
      <c r="L69" s="133"/>
      <c r="M69" s="134"/>
    </row>
    <row r="70" spans="1:6" ht="9" customHeight="1">
      <c r="A70" s="24"/>
      <c r="E70"/>
      <c r="F70" s="16"/>
    </row>
    <row r="71" spans="1:13" ht="52.5" customHeight="1">
      <c r="A71" s="121" t="s">
        <v>92</v>
      </c>
      <c r="B71" s="135"/>
      <c r="C71" s="135"/>
      <c r="D71" s="135"/>
      <c r="E71" s="135"/>
      <c r="F71" s="135"/>
      <c r="G71" s="135"/>
      <c r="H71" s="135"/>
      <c r="I71" s="135"/>
      <c r="J71" s="135"/>
      <c r="K71" s="135"/>
      <c r="L71" s="135"/>
      <c r="M71" s="135"/>
    </row>
    <row r="72" spans="1:6" ht="12.75">
      <c r="A72" s="16"/>
      <c r="E72"/>
      <c r="F72" s="16"/>
    </row>
    <row r="73" spans="2:5" ht="12.75">
      <c r="B73" s="24" t="s">
        <v>44</v>
      </c>
      <c r="C73" s="24"/>
      <c r="D73" s="24"/>
      <c r="E73" s="16">
        <v>284000</v>
      </c>
    </row>
    <row r="74" spans="2:5" ht="12.75">
      <c r="B74" s="24" t="s">
        <v>45</v>
      </c>
      <c r="C74" s="24"/>
      <c r="D74" s="24"/>
      <c r="E74" s="16">
        <v>104000</v>
      </c>
    </row>
    <row r="75" spans="2:5" ht="12.75">
      <c r="B75" s="16" t="s">
        <v>46</v>
      </c>
      <c r="E75" s="16">
        <v>129000</v>
      </c>
    </row>
    <row r="76" ht="12.75">
      <c r="E76" s="16" t="s">
        <v>39</v>
      </c>
    </row>
    <row r="77" ht="12.75">
      <c r="A77" s="24" t="s">
        <v>40</v>
      </c>
    </row>
  </sheetData>
  <sheetProtection/>
  <mergeCells count="12">
    <mergeCell ref="A1:M1"/>
    <mergeCell ref="A2:M2"/>
    <mergeCell ref="A3:M3"/>
    <mergeCell ref="A4:M4"/>
    <mergeCell ref="A5:M5"/>
    <mergeCell ref="F61:I61"/>
    <mergeCell ref="A69:M69"/>
    <mergeCell ref="A71:M71"/>
    <mergeCell ref="A31:M31"/>
    <mergeCell ref="A59:M59"/>
    <mergeCell ref="I10:M10"/>
    <mergeCell ref="A8:M8"/>
  </mergeCells>
  <hyperlinks>
    <hyperlink ref="A4" r:id="rId1" display="www.batavia-downs.com"/>
  </hyperlinks>
  <printOptions/>
  <pageMargins left="0.25" right="0.25" top="0.75" bottom="0.5" header="0.5" footer="0.5"/>
  <pageSetup fitToHeight="1" fitToWidth="1" horizontalDpi="600" verticalDpi="600" orientation="portrait" scale="70" r:id="rId3"/>
  <drawing r:id="rId2"/>
</worksheet>
</file>

<file path=xl/worksheets/sheet14.xml><?xml version="1.0" encoding="utf-8"?>
<worksheet xmlns="http://schemas.openxmlformats.org/spreadsheetml/2006/main" xmlns:r="http://schemas.openxmlformats.org/officeDocument/2006/relationships">
  <sheetPr>
    <pageSetUpPr fitToPage="1"/>
  </sheetPr>
  <dimension ref="A1:L78"/>
  <sheetViews>
    <sheetView zoomScalePageLayoutView="0" workbookViewId="0" topLeftCell="A1">
      <selection activeCell="B28" sqref="B28"/>
    </sheetView>
  </sheetViews>
  <sheetFormatPr defaultColWidth="9.140625" defaultRowHeight="12.75"/>
  <cols>
    <col min="1" max="1" width="9.28125" style="3" customWidth="1"/>
    <col min="2" max="2" width="13.140625" style="16" customWidth="1"/>
    <col min="3" max="3" width="13.7109375" style="16" customWidth="1"/>
    <col min="4" max="4" width="12.7109375" style="16" customWidth="1"/>
    <col min="5" max="5" width="8.8515625" style="17" customWidth="1"/>
    <col min="6" max="6" width="10.28125" style="16" customWidth="1"/>
    <col min="7" max="7" width="1.421875" style="16" customWidth="1"/>
    <col min="8" max="8" width="12.421875" style="16" customWidth="1"/>
    <col min="9" max="9" width="12.8515625" style="16" customWidth="1"/>
    <col min="10" max="10" width="13.7109375" style="16" customWidth="1"/>
    <col min="11" max="11" width="13.8515625" style="16" customWidth="1"/>
    <col min="12" max="12" width="13.28125" style="16" customWidth="1"/>
    <col min="13" max="13" width="12.7109375" style="0" customWidth="1"/>
  </cols>
  <sheetData>
    <row r="1" spans="1:12" ht="18">
      <c r="A1" s="136" t="s">
        <v>60</v>
      </c>
      <c r="B1" s="136"/>
      <c r="C1" s="136"/>
      <c r="D1" s="136"/>
      <c r="E1" s="136"/>
      <c r="F1" s="136"/>
      <c r="G1" s="136"/>
      <c r="H1" s="136"/>
      <c r="I1" s="136"/>
      <c r="J1" s="136"/>
      <c r="K1" s="136"/>
      <c r="L1" s="136"/>
    </row>
    <row r="2" spans="1:12" ht="15">
      <c r="A2" s="137" t="s">
        <v>0</v>
      </c>
      <c r="B2" s="137"/>
      <c r="C2" s="137"/>
      <c r="D2" s="137"/>
      <c r="E2" s="137"/>
      <c r="F2" s="137"/>
      <c r="G2" s="137"/>
      <c r="H2" s="137"/>
      <c r="I2" s="137"/>
      <c r="J2" s="137"/>
      <c r="K2" s="137"/>
      <c r="L2" s="137"/>
    </row>
    <row r="3" spans="1:12" s="1" customFormat="1" ht="15">
      <c r="A3" s="137" t="s">
        <v>1</v>
      </c>
      <c r="B3" s="137"/>
      <c r="C3" s="137"/>
      <c r="D3" s="137"/>
      <c r="E3" s="137"/>
      <c r="F3" s="137"/>
      <c r="G3" s="137"/>
      <c r="H3" s="137"/>
      <c r="I3" s="137"/>
      <c r="J3" s="137"/>
      <c r="K3" s="137"/>
      <c r="L3" s="137"/>
    </row>
    <row r="4" spans="1:12" s="1" customFormat="1" ht="14.25">
      <c r="A4" s="124" t="s">
        <v>2</v>
      </c>
      <c r="B4" s="124"/>
      <c r="C4" s="124"/>
      <c r="D4" s="124"/>
      <c r="E4" s="124"/>
      <c r="F4" s="124"/>
      <c r="G4" s="124"/>
      <c r="H4" s="124"/>
      <c r="I4" s="124"/>
      <c r="J4" s="124"/>
      <c r="K4" s="124"/>
      <c r="L4" s="124"/>
    </row>
    <row r="5" spans="1:12" s="1" customFormat="1" ht="14.25">
      <c r="A5" s="138" t="s">
        <v>3</v>
      </c>
      <c r="B5" s="138"/>
      <c r="C5" s="138"/>
      <c r="D5" s="138"/>
      <c r="E5" s="138"/>
      <c r="F5" s="138"/>
      <c r="G5" s="138"/>
      <c r="H5" s="138"/>
      <c r="I5" s="138"/>
      <c r="J5" s="138"/>
      <c r="K5" s="138"/>
      <c r="L5" s="138"/>
    </row>
    <row r="6" spans="1:12" s="1" customFormat="1" ht="14.25">
      <c r="A6" s="2"/>
      <c r="B6" s="2"/>
      <c r="C6" s="2"/>
      <c r="D6" s="2"/>
      <c r="E6" s="2"/>
      <c r="F6" s="2"/>
      <c r="G6" s="2"/>
      <c r="H6" s="2"/>
      <c r="I6" s="2"/>
      <c r="J6" s="2"/>
      <c r="K6" s="2"/>
      <c r="L6" s="2"/>
    </row>
    <row r="7" spans="1:12" s="1" customFormat="1" ht="12.75">
      <c r="A7" s="3"/>
      <c r="B7" s="4"/>
      <c r="C7" s="4"/>
      <c r="D7" s="5"/>
      <c r="E7" s="6"/>
      <c r="F7" s="5"/>
      <c r="G7" s="5"/>
      <c r="H7" s="5"/>
      <c r="I7" s="5"/>
      <c r="J7" s="5"/>
      <c r="K7" s="5"/>
      <c r="L7" s="5"/>
    </row>
    <row r="8" spans="1:12" s="7" customFormat="1" ht="14.25" customHeight="1">
      <c r="A8" s="129" t="s">
        <v>68</v>
      </c>
      <c r="B8" s="130"/>
      <c r="C8" s="130"/>
      <c r="D8" s="130"/>
      <c r="E8" s="130"/>
      <c r="F8" s="130"/>
      <c r="G8" s="130"/>
      <c r="H8" s="130"/>
      <c r="I8" s="130"/>
      <c r="J8" s="130"/>
      <c r="K8" s="130"/>
      <c r="L8" s="131"/>
    </row>
    <row r="9" spans="1:12" s="1" customFormat="1" ht="9" customHeight="1">
      <c r="A9" s="3"/>
      <c r="B9" s="4"/>
      <c r="C9" s="4"/>
      <c r="D9" s="5"/>
      <c r="E9" s="6"/>
      <c r="F9" s="5"/>
      <c r="G9" s="5"/>
      <c r="H9" s="5"/>
      <c r="I9" s="5"/>
      <c r="J9" s="5"/>
      <c r="K9" s="5"/>
      <c r="L9" s="5"/>
    </row>
    <row r="10" spans="1:12" s="1" customFormat="1" ht="12.75">
      <c r="A10" s="3"/>
      <c r="B10" s="5"/>
      <c r="C10" s="5"/>
      <c r="D10" s="5"/>
      <c r="E10" s="6"/>
      <c r="F10" s="5"/>
      <c r="G10" s="5"/>
      <c r="H10" s="128" t="s">
        <v>5</v>
      </c>
      <c r="I10" s="128"/>
      <c r="J10" s="128"/>
      <c r="K10" s="128"/>
      <c r="L10" s="128"/>
    </row>
    <row r="11" spans="1:12" s="1" customFormat="1" ht="12.75">
      <c r="A11" s="3"/>
      <c r="B11" s="5"/>
      <c r="C11" s="5"/>
      <c r="D11" s="5"/>
      <c r="E11" s="6"/>
      <c r="F11" s="5"/>
      <c r="G11" s="5"/>
      <c r="H11" s="5"/>
      <c r="I11" s="5"/>
      <c r="J11" s="5"/>
      <c r="K11" s="5"/>
      <c r="L11" s="5"/>
    </row>
    <row r="12" spans="1:12" s="12" customFormat="1" ht="12">
      <c r="A12" s="9"/>
      <c r="B12" s="10" t="s">
        <v>6</v>
      </c>
      <c r="C12" s="10" t="s">
        <v>6</v>
      </c>
      <c r="D12" s="10"/>
      <c r="E12" s="11" t="s">
        <v>7</v>
      </c>
      <c r="F12" s="10" t="s">
        <v>8</v>
      </c>
      <c r="G12" s="10"/>
      <c r="H12" s="10" t="s">
        <v>9</v>
      </c>
      <c r="I12" s="10" t="s">
        <v>83</v>
      </c>
      <c r="J12" s="10" t="s">
        <v>10</v>
      </c>
      <c r="K12" s="10" t="s">
        <v>84</v>
      </c>
      <c r="L12" s="10" t="s">
        <v>49</v>
      </c>
    </row>
    <row r="13" spans="1:12" s="12" customFormat="1" ht="12">
      <c r="A13" s="13" t="s">
        <v>11</v>
      </c>
      <c r="B13" s="8" t="s">
        <v>12</v>
      </c>
      <c r="C13" s="8" t="s">
        <v>13</v>
      </c>
      <c r="D13" s="8" t="s">
        <v>14</v>
      </c>
      <c r="E13" s="14" t="s">
        <v>15</v>
      </c>
      <c r="F13" s="8" t="s">
        <v>16</v>
      </c>
      <c r="G13" s="15"/>
      <c r="H13" s="8" t="s">
        <v>17</v>
      </c>
      <c r="I13" s="8" t="s">
        <v>18</v>
      </c>
      <c r="J13" s="8" t="s">
        <v>19</v>
      </c>
      <c r="K13" s="8" t="s">
        <v>85</v>
      </c>
      <c r="L13" s="8" t="s">
        <v>50</v>
      </c>
    </row>
    <row r="15" spans="1:12" ht="12.75">
      <c r="A15" s="3">
        <v>40269</v>
      </c>
      <c r="B15" s="16">
        <v>36619228.49</v>
      </c>
      <c r="C15" s="16">
        <f aca="true" t="shared" si="0" ref="C15:C26">B15-D15</f>
        <v>33269869.060000002</v>
      </c>
      <c r="D15" s="16">
        <v>3349359.43</v>
      </c>
      <c r="E15" s="17">
        <v>605</v>
      </c>
      <c r="F15" s="16">
        <f>D15/E15/30</f>
        <v>184.53770964187328</v>
      </c>
      <c r="H15" s="16">
        <v>1339743.76</v>
      </c>
      <c r="I15" s="16">
        <v>1205769.4</v>
      </c>
      <c r="J15" s="16">
        <v>334935.95</v>
      </c>
      <c r="K15" s="16">
        <v>334935.95</v>
      </c>
      <c r="L15" s="16">
        <v>133974.36</v>
      </c>
    </row>
    <row r="16" spans="1:12" ht="12.75">
      <c r="A16" s="3">
        <v>40299</v>
      </c>
      <c r="B16" s="16">
        <v>40589175.4</v>
      </c>
      <c r="C16" s="16">
        <f t="shared" si="0"/>
        <v>37040798.41</v>
      </c>
      <c r="D16" s="16">
        <v>3548376.99</v>
      </c>
      <c r="E16" s="17">
        <v>605</v>
      </c>
      <c r="F16" s="16">
        <f>D16/E16/31</f>
        <v>189.19632044788057</v>
      </c>
      <c r="H16" s="16">
        <v>1419350.8</v>
      </c>
      <c r="I16" s="16">
        <v>1277415.71</v>
      </c>
      <c r="J16" s="16">
        <v>354837.71</v>
      </c>
      <c r="K16" s="16">
        <v>354837.71</v>
      </c>
      <c r="L16" s="16">
        <v>141935.09</v>
      </c>
    </row>
    <row r="17" spans="1:12" ht="12.75">
      <c r="A17" s="3">
        <v>40330</v>
      </c>
      <c r="B17" s="16">
        <v>35130086.35</v>
      </c>
      <c r="C17" s="16">
        <f t="shared" si="0"/>
        <v>32009696.68</v>
      </c>
      <c r="D17" s="16">
        <v>3120389.67</v>
      </c>
      <c r="E17" s="17">
        <v>605</v>
      </c>
      <c r="F17" s="16">
        <f>D17/E17/30</f>
        <v>171.9222958677686</v>
      </c>
      <c r="H17" s="16">
        <v>1248155.88</v>
      </c>
      <c r="I17" s="16">
        <v>1123340.29</v>
      </c>
      <c r="J17" s="16">
        <v>312038.97</v>
      </c>
      <c r="K17" s="16">
        <v>312038.97</v>
      </c>
      <c r="L17" s="16">
        <v>124815.58</v>
      </c>
    </row>
    <row r="18" spans="1:12" ht="12.75">
      <c r="A18" s="3">
        <v>40360</v>
      </c>
      <c r="B18" s="16">
        <v>39124868.42</v>
      </c>
      <c r="C18" s="16">
        <f t="shared" si="0"/>
        <v>35692390.730000004</v>
      </c>
      <c r="D18" s="16">
        <v>3432477.69</v>
      </c>
      <c r="E18" s="17">
        <v>605</v>
      </c>
      <c r="F18" s="16">
        <f>D18/E18/31</f>
        <v>183.01667235403892</v>
      </c>
      <c r="H18" s="16">
        <v>1372991.05</v>
      </c>
      <c r="I18" s="16">
        <v>1235691.95</v>
      </c>
      <c r="J18" s="16">
        <v>343247.8</v>
      </c>
      <c r="K18" s="16">
        <v>343247.8</v>
      </c>
      <c r="L18" s="16">
        <v>137299.09</v>
      </c>
    </row>
    <row r="19" spans="1:12" ht="12.75">
      <c r="A19" s="3">
        <v>40391</v>
      </c>
      <c r="B19" s="16">
        <v>38885475.17</v>
      </c>
      <c r="C19" s="16">
        <f t="shared" si="0"/>
        <v>35516643.870000005</v>
      </c>
      <c r="D19" s="16">
        <v>3368831.3</v>
      </c>
      <c r="E19" s="17">
        <v>605</v>
      </c>
      <c r="F19" s="16">
        <f>D19/E19/31</f>
        <v>179.62310317248733</v>
      </c>
      <c r="H19" s="16">
        <v>1370278.23</v>
      </c>
      <c r="I19" s="16">
        <v>1190033.55</v>
      </c>
      <c r="J19" s="16">
        <v>336883.14</v>
      </c>
      <c r="K19" s="16">
        <v>336883.14</v>
      </c>
      <c r="L19" s="16">
        <v>134753.25</v>
      </c>
    </row>
    <row r="20" spans="1:12" ht="12.75">
      <c r="A20" s="3">
        <v>40422</v>
      </c>
      <c r="B20" s="16">
        <v>35832232.26</v>
      </c>
      <c r="C20" s="16">
        <f t="shared" si="0"/>
        <v>32702235.97</v>
      </c>
      <c r="D20" s="16">
        <v>3129996.29</v>
      </c>
      <c r="E20" s="17">
        <v>605</v>
      </c>
      <c r="F20" s="16">
        <f>D20/E20/30</f>
        <v>172.4515862258953</v>
      </c>
      <c r="H20" s="16">
        <v>1283298.49</v>
      </c>
      <c r="I20" s="16">
        <v>1095498.72</v>
      </c>
      <c r="J20" s="16">
        <v>312999.62</v>
      </c>
      <c r="K20" s="16">
        <v>312999.62</v>
      </c>
      <c r="L20" s="16">
        <v>125199.86</v>
      </c>
    </row>
    <row r="21" spans="1:12" ht="12.75">
      <c r="A21" s="3">
        <v>40452</v>
      </c>
      <c r="B21" s="16">
        <v>37092164.92</v>
      </c>
      <c r="C21" s="16">
        <f t="shared" si="0"/>
        <v>33978098.85</v>
      </c>
      <c r="D21" s="16">
        <v>3114066.07</v>
      </c>
      <c r="E21" s="17">
        <v>605</v>
      </c>
      <c r="F21" s="16">
        <f>D21/E21/31</f>
        <v>166.0392466009064</v>
      </c>
      <c r="H21" s="16">
        <v>1276767.07</v>
      </c>
      <c r="I21" s="16">
        <v>1089923.12</v>
      </c>
      <c r="J21" s="16">
        <v>311406.62</v>
      </c>
      <c r="K21" s="16">
        <v>311406.62</v>
      </c>
      <c r="L21" s="16">
        <v>124562.65</v>
      </c>
    </row>
    <row r="22" spans="1:12" ht="12.75">
      <c r="A22" s="3">
        <v>40483</v>
      </c>
      <c r="B22" s="16">
        <v>32729022.18</v>
      </c>
      <c r="C22" s="16">
        <f t="shared" si="0"/>
        <v>29847913.09</v>
      </c>
      <c r="D22" s="16">
        <v>2881109.09</v>
      </c>
      <c r="E22" s="17">
        <v>605.9</v>
      </c>
      <c r="F22" s="16">
        <f>D22/E22/30</f>
        <v>158.50300324586016</v>
      </c>
      <c r="H22" s="16">
        <v>1181254.73</v>
      </c>
      <c r="I22" s="16">
        <v>1008388.19</v>
      </c>
      <c r="J22" s="16">
        <v>288110.91</v>
      </c>
      <c r="K22" s="16">
        <v>288110.91</v>
      </c>
      <c r="L22" s="16">
        <v>115244.36</v>
      </c>
    </row>
    <row r="23" spans="1:12" ht="12.75">
      <c r="A23" s="3">
        <v>40513</v>
      </c>
      <c r="B23" s="16">
        <v>31349767.28</v>
      </c>
      <c r="C23" s="16">
        <f t="shared" si="0"/>
        <v>28576890.67</v>
      </c>
      <c r="D23" s="16">
        <v>2772876.61</v>
      </c>
      <c r="E23" s="17">
        <v>606</v>
      </c>
      <c r="F23" s="16">
        <f>D23/E23/31</f>
        <v>147.60335409347385</v>
      </c>
      <c r="H23" s="16">
        <v>1136879.42</v>
      </c>
      <c r="I23" s="16">
        <v>970506.85</v>
      </c>
      <c r="J23" s="16">
        <v>277287.68</v>
      </c>
      <c r="K23" s="16">
        <v>277287.68</v>
      </c>
      <c r="L23" s="16">
        <v>110915.07</v>
      </c>
    </row>
    <row r="24" spans="1:12" ht="12.75">
      <c r="A24" s="3">
        <v>40544</v>
      </c>
      <c r="B24" s="16">
        <v>32087456.54</v>
      </c>
      <c r="C24" s="16">
        <f t="shared" si="0"/>
        <v>29307640.47</v>
      </c>
      <c r="D24" s="16">
        <v>2779816.07</v>
      </c>
      <c r="E24" s="17">
        <v>606</v>
      </c>
      <c r="F24" s="16">
        <f>D24/E24/31</f>
        <v>147.972749387842</v>
      </c>
      <c r="H24" s="16">
        <v>1139724.58</v>
      </c>
      <c r="I24" s="16">
        <v>972935.65</v>
      </c>
      <c r="J24" s="16">
        <v>277981.61</v>
      </c>
      <c r="K24" s="16">
        <v>277981.61</v>
      </c>
      <c r="L24" s="16">
        <v>111192.64</v>
      </c>
    </row>
    <row r="25" spans="1:12" ht="12.75">
      <c r="A25" s="3">
        <v>40575</v>
      </c>
      <c r="B25" s="16">
        <v>33698201.07</v>
      </c>
      <c r="C25" s="16">
        <f t="shared" si="0"/>
        <v>30694656.7</v>
      </c>
      <c r="D25" s="16">
        <v>3003544.37</v>
      </c>
      <c r="E25" s="17">
        <v>606.4285714285714</v>
      </c>
      <c r="F25" s="16">
        <f>D25/E25/28</f>
        <v>176.88718315665488</v>
      </c>
      <c r="H25" s="16">
        <v>1231453.2</v>
      </c>
      <c r="I25" s="16">
        <v>1051240.52</v>
      </c>
      <c r="J25" s="16">
        <v>300354.47</v>
      </c>
      <c r="K25" s="16">
        <v>300354.47</v>
      </c>
      <c r="L25" s="16">
        <v>120141.78</v>
      </c>
    </row>
    <row r="26" spans="1:12" ht="12.75">
      <c r="A26" s="3">
        <v>40603</v>
      </c>
      <c r="B26" s="16">
        <v>40841427.78</v>
      </c>
      <c r="C26" s="16">
        <f t="shared" si="0"/>
        <v>37264009.67</v>
      </c>
      <c r="D26" s="16">
        <v>3577418.11</v>
      </c>
      <c r="E26" s="17">
        <v>607</v>
      </c>
      <c r="F26" s="16">
        <f>D26/E26/31</f>
        <v>190.11628367965136</v>
      </c>
      <c r="H26" s="16">
        <v>1466741.43</v>
      </c>
      <c r="I26" s="16">
        <v>1252096.35</v>
      </c>
      <c r="J26" s="16">
        <v>357741.8</v>
      </c>
      <c r="K26" s="16">
        <v>357741.8</v>
      </c>
      <c r="L26" s="16">
        <v>143096.74</v>
      </c>
    </row>
    <row r="27" spans="1:12" ht="13.5" thickBot="1">
      <c r="A27" s="3" t="s">
        <v>20</v>
      </c>
      <c r="B27" s="18">
        <f>SUM(B15:B26)</f>
        <v>433979105.86</v>
      </c>
      <c r="C27" s="18">
        <f>SUM(C15:C26)</f>
        <v>395900844.16999996</v>
      </c>
      <c r="D27" s="18">
        <f>SUM(D15:D26)</f>
        <v>38078261.69</v>
      </c>
      <c r="H27" s="18">
        <f>SUM(H15:H26)</f>
        <v>15466638.64</v>
      </c>
      <c r="I27" s="18">
        <f>SUM(I15:I26)</f>
        <v>13472840.299999999</v>
      </c>
      <c r="J27" s="18">
        <f>SUM(J15:J26)</f>
        <v>3807826.2800000003</v>
      </c>
      <c r="K27" s="18">
        <f>SUM(K15:K26)</f>
        <v>3807826.2800000003</v>
      </c>
      <c r="L27" s="18">
        <f>SUM(L15:L26)</f>
        <v>1523130.47</v>
      </c>
    </row>
    <row r="28" spans="2:12" ht="10.5" customHeight="1" thickTop="1">
      <c r="B28" s="19"/>
      <c r="C28" s="19"/>
      <c r="D28" s="19"/>
      <c r="H28" s="19"/>
      <c r="I28" s="19"/>
      <c r="J28" s="19"/>
      <c r="K28" s="19"/>
      <c r="L28" s="19"/>
    </row>
    <row r="29" spans="1:12" s="22" customFormat="1" ht="12.75">
      <c r="A29" s="20"/>
      <c r="B29" s="21"/>
      <c r="C29" s="21">
        <f>C27/B27</f>
        <v>0.9122578456524034</v>
      </c>
      <c r="D29" s="21">
        <f>D27/B27</f>
        <v>0.0877421543475964</v>
      </c>
      <c r="H29" s="21">
        <f>H27/$D$27</f>
        <v>0.40618027067296</v>
      </c>
      <c r="I29" s="21">
        <f>I27/$D$27</f>
        <v>0.35381973078719076</v>
      </c>
      <c r="J29" s="21">
        <f>J27/$D$27</f>
        <v>0.10000000291504905</v>
      </c>
      <c r="K29" s="21">
        <f>K27/$D$27</f>
        <v>0.10000000291504905</v>
      </c>
      <c r="L29" s="21">
        <f>L27/$D$27</f>
        <v>0.04000000006302809</v>
      </c>
    </row>
    <row r="31" spans="1:12" s="23" customFormat="1" ht="12.75">
      <c r="A31" s="129" t="s">
        <v>21</v>
      </c>
      <c r="B31" s="130"/>
      <c r="C31" s="130"/>
      <c r="D31" s="130"/>
      <c r="E31" s="130"/>
      <c r="F31" s="130"/>
      <c r="G31" s="130"/>
      <c r="H31" s="130"/>
      <c r="I31" s="130"/>
      <c r="J31" s="130"/>
      <c r="K31" s="130"/>
      <c r="L31" s="131"/>
    </row>
    <row r="32" ht="12.75">
      <c r="A32" s="24"/>
    </row>
    <row r="33" spans="1:12" s="49" customFormat="1" ht="12.75" customHeight="1">
      <c r="A33" s="45" t="s">
        <v>22</v>
      </c>
      <c r="B33" s="46"/>
      <c r="C33" s="57" t="s">
        <v>94</v>
      </c>
      <c r="D33" s="58"/>
      <c r="E33" s="58"/>
      <c r="F33" s="58"/>
      <c r="G33" s="58"/>
      <c r="H33" s="58"/>
      <c r="I33" s="58"/>
      <c r="J33" s="58"/>
      <c r="K33" s="58"/>
      <c r="L33" s="58"/>
    </row>
    <row r="34" spans="1:12" s="49" customFormat="1" ht="12.75" customHeight="1">
      <c r="A34" s="45"/>
      <c r="B34" s="46"/>
      <c r="C34" s="57" t="s">
        <v>95</v>
      </c>
      <c r="D34" s="58"/>
      <c r="E34" s="58"/>
      <c r="F34" s="58"/>
      <c r="G34" s="58"/>
      <c r="H34" s="58"/>
      <c r="I34" s="58"/>
      <c r="J34" s="58"/>
      <c r="K34" s="58"/>
      <c r="L34" s="58"/>
    </row>
    <row r="35" spans="1:12" ht="6" customHeight="1">
      <c r="A35" s="25"/>
      <c r="B35" s="26"/>
      <c r="C35" s="26"/>
      <c r="E35" s="26"/>
      <c r="F35" s="26"/>
      <c r="G35" s="26"/>
      <c r="H35" s="26"/>
      <c r="I35" s="26"/>
      <c r="J35" s="26"/>
      <c r="K35" s="26"/>
      <c r="L35" s="26"/>
    </row>
    <row r="36" spans="1:12" ht="12.75">
      <c r="A36" s="25" t="s">
        <v>23</v>
      </c>
      <c r="B36" s="26"/>
      <c r="C36" s="26" t="s">
        <v>24</v>
      </c>
      <c r="E36" s="26"/>
      <c r="F36" s="26"/>
      <c r="G36" s="26"/>
      <c r="H36" s="26"/>
      <c r="I36" s="26"/>
      <c r="J36" s="26"/>
      <c r="K36" s="26"/>
      <c r="L36" s="26"/>
    </row>
    <row r="37" spans="1:12" ht="6" customHeight="1">
      <c r="A37" s="25"/>
      <c r="B37" s="26"/>
      <c r="C37" s="26"/>
      <c r="E37" s="26"/>
      <c r="F37" s="26"/>
      <c r="G37" s="26"/>
      <c r="H37" s="26"/>
      <c r="I37" s="26"/>
      <c r="J37" s="26"/>
      <c r="K37" s="26"/>
      <c r="L37" s="26"/>
    </row>
    <row r="38" spans="1:12" ht="12.75">
      <c r="A38" s="25" t="s">
        <v>25</v>
      </c>
      <c r="B38" s="26"/>
      <c r="C38" s="26" t="s">
        <v>64</v>
      </c>
      <c r="E38" s="27"/>
      <c r="F38" s="26"/>
      <c r="G38" s="26"/>
      <c r="H38" s="26"/>
      <c r="I38" s="26"/>
      <c r="J38" s="26"/>
      <c r="K38" s="26"/>
      <c r="L38" s="26"/>
    </row>
    <row r="39" spans="1:12" ht="12.75">
      <c r="A39" s="25"/>
      <c r="B39" s="26"/>
      <c r="C39" s="26" t="s">
        <v>63</v>
      </c>
      <c r="E39" s="27"/>
      <c r="F39" s="26"/>
      <c r="G39" s="26"/>
      <c r="H39" s="26"/>
      <c r="I39" s="26"/>
      <c r="J39" s="26"/>
      <c r="K39" s="26"/>
      <c r="L39" s="26"/>
    </row>
    <row r="40" spans="1:12" ht="6" customHeight="1">
      <c r="A40" s="25"/>
      <c r="B40" s="26"/>
      <c r="C40" s="26"/>
      <c r="E40" s="27"/>
      <c r="F40" s="26"/>
      <c r="G40" s="26"/>
      <c r="H40" s="26"/>
      <c r="I40" s="26"/>
      <c r="J40" s="26"/>
      <c r="K40" s="26"/>
      <c r="L40" s="26"/>
    </row>
    <row r="41" spans="1:12" ht="12.75">
      <c r="A41" s="25" t="s">
        <v>28</v>
      </c>
      <c r="B41" s="26"/>
      <c r="C41" s="26" t="s">
        <v>29</v>
      </c>
      <c r="E41" s="27"/>
      <c r="F41" s="26"/>
      <c r="G41" s="26"/>
      <c r="H41" s="26"/>
      <c r="I41" s="26"/>
      <c r="J41" s="26"/>
      <c r="K41" s="26"/>
      <c r="L41" s="26"/>
    </row>
    <row r="42" spans="1:12" ht="6" customHeight="1">
      <c r="A42" s="25"/>
      <c r="B42" s="26"/>
      <c r="C42" s="26"/>
      <c r="E42" s="27"/>
      <c r="F42" s="26"/>
      <c r="G42" s="26"/>
      <c r="H42" s="26"/>
      <c r="I42" s="26"/>
      <c r="J42" s="26"/>
      <c r="K42" s="26"/>
      <c r="L42" s="26"/>
    </row>
    <row r="43" spans="1:12" s="49" customFormat="1" ht="12.75">
      <c r="A43" s="45" t="s">
        <v>74</v>
      </c>
      <c r="B43" s="46"/>
      <c r="C43" s="46" t="s">
        <v>75</v>
      </c>
      <c r="D43" s="47"/>
      <c r="E43" s="48"/>
      <c r="F43" s="46"/>
      <c r="G43" s="46"/>
      <c r="H43" s="46"/>
      <c r="I43" s="46"/>
      <c r="J43" s="46"/>
      <c r="K43" s="46"/>
      <c r="L43" s="46"/>
    </row>
    <row r="44" spans="1:12" s="49" customFormat="1" ht="12.75">
      <c r="A44" s="45"/>
      <c r="B44" s="46"/>
      <c r="C44" s="46" t="s">
        <v>81</v>
      </c>
      <c r="D44" s="47"/>
      <c r="E44" s="48"/>
      <c r="F44" s="46"/>
      <c r="G44" s="46"/>
      <c r="H44" s="46"/>
      <c r="I44" s="46"/>
      <c r="J44" s="46"/>
      <c r="K44" s="46"/>
      <c r="L44" s="46"/>
    </row>
    <row r="45" spans="1:12" s="49" customFormat="1" ht="12.75">
      <c r="A45" s="45"/>
      <c r="B45" s="46"/>
      <c r="C45" s="46" t="s">
        <v>82</v>
      </c>
      <c r="D45" s="47"/>
      <c r="E45" s="48"/>
      <c r="F45" s="46"/>
      <c r="G45" s="46"/>
      <c r="H45" s="46"/>
      <c r="I45" s="46"/>
      <c r="J45" s="46"/>
      <c r="K45" s="46"/>
      <c r="L45" s="46"/>
    </row>
    <row r="46" spans="1:12" ht="6" customHeight="1">
      <c r="A46" s="25"/>
      <c r="B46" s="26"/>
      <c r="C46" s="26"/>
      <c r="E46" s="27"/>
      <c r="F46" s="26"/>
      <c r="G46" s="26"/>
      <c r="H46" s="26"/>
      <c r="I46" s="26"/>
      <c r="J46" s="26"/>
      <c r="K46" s="26"/>
      <c r="L46" s="26"/>
    </row>
    <row r="47" spans="1:12" s="49" customFormat="1" ht="12.75">
      <c r="A47" s="45" t="s">
        <v>30</v>
      </c>
      <c r="B47" s="46"/>
      <c r="C47" s="46" t="s">
        <v>76</v>
      </c>
      <c r="D47" s="47"/>
      <c r="E47" s="48"/>
      <c r="F47" s="46"/>
      <c r="G47" s="46"/>
      <c r="H47" s="46"/>
      <c r="I47" s="46"/>
      <c r="J47" s="46"/>
      <c r="K47" s="46"/>
      <c r="L47" s="46"/>
    </row>
    <row r="48" spans="1:12" s="49" customFormat="1" ht="12.75">
      <c r="A48" s="45"/>
      <c r="B48" s="46"/>
      <c r="C48" s="46" t="s">
        <v>77</v>
      </c>
      <c r="D48" s="47"/>
      <c r="E48" s="48"/>
      <c r="F48" s="46"/>
      <c r="G48" s="46"/>
      <c r="H48" s="46"/>
      <c r="I48" s="46"/>
      <c r="J48" s="46"/>
      <c r="K48" s="46"/>
      <c r="L48" s="46"/>
    </row>
    <row r="49" spans="1:12" ht="6" customHeight="1">
      <c r="A49" s="25"/>
      <c r="B49" s="26"/>
      <c r="C49" s="26"/>
      <c r="E49" s="27"/>
      <c r="F49" s="26"/>
      <c r="G49" s="26"/>
      <c r="H49" s="26"/>
      <c r="I49" s="26"/>
      <c r="J49" s="26"/>
      <c r="K49" s="26"/>
      <c r="L49" s="26"/>
    </row>
    <row r="50" spans="1:12" s="49" customFormat="1" ht="12.75">
      <c r="A50" s="45" t="s">
        <v>86</v>
      </c>
      <c r="B50" s="46"/>
      <c r="C50" s="46" t="s">
        <v>79</v>
      </c>
      <c r="D50" s="47"/>
      <c r="E50" s="48"/>
      <c r="F50" s="46"/>
      <c r="G50" s="46"/>
      <c r="H50" s="46"/>
      <c r="I50" s="46"/>
      <c r="J50" s="46"/>
      <c r="K50" s="46"/>
      <c r="L50" s="46"/>
    </row>
    <row r="51" spans="1:12" s="49" customFormat="1" ht="12.75">
      <c r="A51" s="50"/>
      <c r="B51" s="46"/>
      <c r="C51" s="46" t="s">
        <v>80</v>
      </c>
      <c r="D51" s="47"/>
      <c r="E51" s="48"/>
      <c r="F51" s="46"/>
      <c r="G51" s="46"/>
      <c r="H51" s="46"/>
      <c r="I51" s="46"/>
      <c r="J51" s="46"/>
      <c r="K51" s="46"/>
      <c r="L51" s="46"/>
    </row>
    <row r="52" spans="1:12" ht="6" customHeight="1">
      <c r="A52" s="29"/>
      <c r="B52" s="30"/>
      <c r="C52" s="30"/>
      <c r="D52" s="30"/>
      <c r="E52" s="31"/>
      <c r="F52" s="30"/>
      <c r="G52" s="30"/>
      <c r="H52" s="30"/>
      <c r="I52" s="30"/>
      <c r="J52" s="30"/>
      <c r="K52" s="30"/>
      <c r="L52" s="30"/>
    </row>
    <row r="53" spans="1:11" ht="12.75">
      <c r="A53" s="25" t="s">
        <v>51</v>
      </c>
      <c r="B53" s="26"/>
      <c r="C53" s="26" t="s">
        <v>65</v>
      </c>
      <c r="E53" s="27"/>
      <c r="F53" s="26"/>
      <c r="G53" s="26"/>
      <c r="H53" s="26"/>
      <c r="I53" s="26"/>
      <c r="J53" s="26"/>
      <c r="K53" s="26"/>
    </row>
    <row r="54" spans="1:11" ht="12.75">
      <c r="A54" s="28"/>
      <c r="B54" s="26"/>
      <c r="C54" s="26" t="s">
        <v>67</v>
      </c>
      <c r="E54" s="27"/>
      <c r="F54" s="26"/>
      <c r="G54" s="26"/>
      <c r="H54" s="26"/>
      <c r="I54" s="26"/>
      <c r="J54" s="26"/>
      <c r="K54" s="26"/>
    </row>
    <row r="55" spans="1:11" ht="12.75">
      <c r="A55" s="28"/>
      <c r="B55" s="26"/>
      <c r="C55" s="26" t="s">
        <v>66</v>
      </c>
      <c r="E55" s="27"/>
      <c r="F55" s="26"/>
      <c r="G55" s="26"/>
      <c r="H55" s="26"/>
      <c r="I55" s="26"/>
      <c r="J55" s="26"/>
      <c r="K55" s="26"/>
    </row>
    <row r="56" spans="1:12" ht="12.75">
      <c r="A56" s="29"/>
      <c r="B56" s="30"/>
      <c r="C56" s="30"/>
      <c r="D56" s="30"/>
      <c r="E56" s="31"/>
      <c r="F56" s="30"/>
      <c r="G56" s="30"/>
      <c r="H56" s="30"/>
      <c r="I56" s="30"/>
      <c r="J56" s="30"/>
      <c r="K56" s="30"/>
      <c r="L56" s="30"/>
    </row>
    <row r="57" spans="1:12" s="23" customFormat="1" ht="12.75">
      <c r="A57" s="129" t="s">
        <v>31</v>
      </c>
      <c r="B57" s="130"/>
      <c r="C57" s="130"/>
      <c r="D57" s="130"/>
      <c r="E57" s="130"/>
      <c r="F57" s="130"/>
      <c r="G57" s="130"/>
      <c r="H57" s="130"/>
      <c r="I57" s="130"/>
      <c r="J57" s="130"/>
      <c r="K57" s="130"/>
      <c r="L57" s="131"/>
    </row>
    <row r="58" ht="12.75">
      <c r="A58" s="24"/>
    </row>
    <row r="59" spans="1:11" ht="13.5">
      <c r="A59" s="32"/>
      <c r="F59" s="10" t="s">
        <v>9</v>
      </c>
      <c r="G59" s="33"/>
      <c r="H59" s="10" t="s">
        <v>83</v>
      </c>
      <c r="I59" s="10" t="s">
        <v>10</v>
      </c>
      <c r="J59" s="51" t="s">
        <v>84</v>
      </c>
      <c r="K59" s="10" t="s">
        <v>49</v>
      </c>
    </row>
    <row r="60" spans="1:11" ht="12.75">
      <c r="A60" s="35"/>
      <c r="F60" s="8" t="s">
        <v>17</v>
      </c>
      <c r="G60" s="36"/>
      <c r="H60" s="8" t="s">
        <v>18</v>
      </c>
      <c r="I60" s="8" t="s">
        <v>19</v>
      </c>
      <c r="J60" s="52" t="s">
        <v>85</v>
      </c>
      <c r="K60" s="8" t="s">
        <v>50</v>
      </c>
    </row>
    <row r="61" spans="2:11" ht="12.75">
      <c r="B61" s="39" t="s">
        <v>35</v>
      </c>
      <c r="C61" s="39"/>
      <c r="D61" s="26"/>
      <c r="E61" s="27"/>
      <c r="F61" s="40">
        <v>0.41</v>
      </c>
      <c r="G61" s="26"/>
      <c r="H61" s="40">
        <v>0.35</v>
      </c>
      <c r="I61" s="40">
        <v>0.1</v>
      </c>
      <c r="J61" s="40">
        <v>0.1</v>
      </c>
      <c r="K61" s="40">
        <v>0.04</v>
      </c>
    </row>
    <row r="62" spans="2:11" ht="12.75">
      <c r="B62" s="39" t="s">
        <v>58</v>
      </c>
      <c r="C62" s="39"/>
      <c r="D62" s="26"/>
      <c r="E62" s="27"/>
      <c r="F62" s="40">
        <v>0.48</v>
      </c>
      <c r="G62" s="26"/>
      <c r="H62" s="40">
        <v>0.28</v>
      </c>
      <c r="I62" s="40">
        <v>0.1</v>
      </c>
      <c r="J62" s="40">
        <v>0.1</v>
      </c>
      <c r="K62" s="40">
        <v>0.04</v>
      </c>
    </row>
    <row r="63" spans="2:11" ht="12.75">
      <c r="B63" s="39" t="s">
        <v>59</v>
      </c>
      <c r="C63" s="39"/>
      <c r="D63" s="26"/>
      <c r="E63" s="27"/>
      <c r="F63" s="40">
        <v>0.52</v>
      </c>
      <c r="G63" s="26"/>
      <c r="H63" s="40">
        <v>0.28</v>
      </c>
      <c r="I63" s="40">
        <v>0.1</v>
      </c>
      <c r="J63" s="40">
        <v>0.1</v>
      </c>
      <c r="K63" s="40">
        <v>0</v>
      </c>
    </row>
    <row r="64" spans="2:11" ht="12.75">
      <c r="B64" s="39" t="s">
        <v>37</v>
      </c>
      <c r="C64" s="39"/>
      <c r="D64" s="26"/>
      <c r="E64" s="27"/>
      <c r="F64" s="40">
        <v>0.54</v>
      </c>
      <c r="G64" s="26"/>
      <c r="H64" s="40">
        <v>0.28</v>
      </c>
      <c r="I64" s="40">
        <v>0.08</v>
      </c>
      <c r="J64" s="40">
        <v>0.1</v>
      </c>
      <c r="K64" s="40">
        <v>0</v>
      </c>
    </row>
    <row r="65" spans="2:11" ht="12.75">
      <c r="B65" s="39" t="s">
        <v>38</v>
      </c>
      <c r="C65" s="39"/>
      <c r="D65" s="26"/>
      <c r="E65" s="27"/>
      <c r="F65" s="40">
        <v>0.57</v>
      </c>
      <c r="G65" s="26"/>
      <c r="H65" s="40">
        <v>0.25</v>
      </c>
      <c r="I65" s="40">
        <v>0.08</v>
      </c>
      <c r="J65" s="40">
        <v>0.1</v>
      </c>
      <c r="K65" s="40">
        <v>0</v>
      </c>
    </row>
    <row r="66" spans="2:11" ht="12.75">
      <c r="B66" s="39"/>
      <c r="C66" s="39"/>
      <c r="D66" s="26"/>
      <c r="E66" s="27"/>
      <c r="F66" s="40"/>
      <c r="G66" s="26"/>
      <c r="H66" s="40"/>
      <c r="I66" s="40"/>
      <c r="J66" s="40"/>
      <c r="K66" s="40"/>
    </row>
    <row r="67" spans="1:12" s="23" customFormat="1" ht="12.75">
      <c r="A67" s="44" t="s">
        <v>70</v>
      </c>
      <c r="B67" s="39"/>
      <c r="C67" s="39"/>
      <c r="D67" s="26"/>
      <c r="E67" s="27"/>
      <c r="F67" s="40"/>
      <c r="G67" s="26"/>
      <c r="H67" s="40"/>
      <c r="I67" s="40"/>
      <c r="J67" s="40"/>
      <c r="K67" s="40"/>
      <c r="L67" s="41"/>
    </row>
    <row r="68" spans="1:12" s="23" customFormat="1" ht="12.75">
      <c r="A68" s="44" t="s">
        <v>71</v>
      </c>
      <c r="B68" s="39"/>
      <c r="C68" s="39"/>
      <c r="D68" s="26"/>
      <c r="E68" s="27"/>
      <c r="F68" s="40"/>
      <c r="G68" s="26"/>
      <c r="H68" s="40"/>
      <c r="I68" s="40"/>
      <c r="J68" s="40"/>
      <c r="K68" s="40"/>
      <c r="L68" s="41"/>
    </row>
    <row r="69" ht="12.75">
      <c r="A69" s="24"/>
    </row>
    <row r="70" spans="1:12" s="23" customFormat="1" ht="12.75">
      <c r="A70" s="132" t="s">
        <v>43</v>
      </c>
      <c r="B70" s="133"/>
      <c r="C70" s="133"/>
      <c r="D70" s="133"/>
      <c r="E70" s="133"/>
      <c r="F70" s="133"/>
      <c r="G70" s="133"/>
      <c r="H70" s="133"/>
      <c r="I70" s="133"/>
      <c r="J70" s="133"/>
      <c r="K70" s="133"/>
      <c r="L70" s="134"/>
    </row>
    <row r="71" spans="1:5" ht="12.75">
      <c r="A71" s="24"/>
      <c r="D71"/>
      <c r="E71" s="16"/>
    </row>
    <row r="72" spans="1:12" ht="53.25" customHeight="1">
      <c r="A72" s="135" t="s">
        <v>69</v>
      </c>
      <c r="B72" s="135"/>
      <c r="C72" s="135"/>
      <c r="D72" s="135"/>
      <c r="E72" s="135"/>
      <c r="F72" s="135"/>
      <c r="G72" s="135"/>
      <c r="H72" s="135"/>
      <c r="I72" s="135"/>
      <c r="J72" s="135"/>
      <c r="K72" s="135"/>
      <c r="L72" s="135"/>
    </row>
    <row r="73" spans="1:5" ht="12.75">
      <c r="A73" s="16"/>
      <c r="D73"/>
      <c r="E73" s="16"/>
    </row>
    <row r="74" spans="2:4" ht="12.75">
      <c r="B74" s="24" t="s">
        <v>44</v>
      </c>
      <c r="C74" s="24"/>
      <c r="D74" s="16">
        <f>314849*0.9</f>
        <v>283364.10000000003</v>
      </c>
    </row>
    <row r="75" spans="2:4" ht="12.75">
      <c r="B75" s="24" t="s">
        <v>45</v>
      </c>
      <c r="C75" s="24"/>
      <c r="D75" s="16">
        <f>114563*0.9</f>
        <v>103106.7</v>
      </c>
    </row>
    <row r="76" spans="2:4" ht="12.75">
      <c r="B76" s="16" t="s">
        <v>46</v>
      </c>
      <c r="D76" s="16">
        <f>143137*0.9</f>
        <v>128823.3</v>
      </c>
    </row>
    <row r="77" ht="12.75">
      <c r="D77" s="16" t="s">
        <v>39</v>
      </c>
    </row>
    <row r="78" ht="12.75">
      <c r="A78" s="24" t="s">
        <v>40</v>
      </c>
    </row>
  </sheetData>
  <sheetProtection/>
  <mergeCells count="11">
    <mergeCell ref="A1:L1"/>
    <mergeCell ref="A2:L2"/>
    <mergeCell ref="A3:L3"/>
    <mergeCell ref="A4:L4"/>
    <mergeCell ref="A5:L5"/>
    <mergeCell ref="A70:L70"/>
    <mergeCell ref="A72:L72"/>
    <mergeCell ref="A31:L31"/>
    <mergeCell ref="A57:L57"/>
    <mergeCell ref="H10:L10"/>
    <mergeCell ref="A8:L8"/>
  </mergeCells>
  <hyperlinks>
    <hyperlink ref="A4" r:id="rId1" display="www.batavia-downs.com"/>
  </hyperlinks>
  <printOptions horizontalCentered="1"/>
  <pageMargins left="0.25" right="0.25" top="0.5" bottom="0.5" header="0.5" footer="0.5"/>
  <pageSetup fitToHeight="1" fitToWidth="1" horizontalDpi="600" verticalDpi="600" orientation="portrait" scale="74" r:id="rId3"/>
  <drawing r:id="rId2"/>
</worksheet>
</file>

<file path=xl/worksheets/sheet15.xml><?xml version="1.0" encoding="utf-8"?>
<worksheet xmlns="http://schemas.openxmlformats.org/spreadsheetml/2006/main" xmlns:r="http://schemas.openxmlformats.org/officeDocument/2006/relationships">
  <sheetPr>
    <pageSetUpPr fitToPage="1"/>
  </sheetPr>
  <dimension ref="A1:L75"/>
  <sheetViews>
    <sheetView zoomScalePageLayoutView="0" workbookViewId="0" topLeftCell="A1">
      <selection activeCell="B28" sqref="B28"/>
    </sheetView>
  </sheetViews>
  <sheetFormatPr defaultColWidth="9.140625" defaultRowHeight="12.75"/>
  <cols>
    <col min="1" max="1" width="9.28125" style="3" customWidth="1"/>
    <col min="2" max="2" width="13.140625" style="16" customWidth="1"/>
    <col min="3" max="3" width="13.7109375" style="16" customWidth="1"/>
    <col min="4" max="4" width="12.7109375" style="16" customWidth="1"/>
    <col min="5" max="5" width="8.8515625" style="17" customWidth="1"/>
    <col min="6" max="6" width="10.28125" style="16" customWidth="1"/>
    <col min="7" max="7" width="1.421875" style="16" customWidth="1"/>
    <col min="8" max="8" width="12.421875" style="16" customWidth="1"/>
    <col min="9" max="9" width="12.8515625" style="16" customWidth="1"/>
    <col min="10" max="10" width="13.7109375" style="16" customWidth="1"/>
    <col min="11" max="11" width="13.8515625" style="16" customWidth="1"/>
    <col min="12" max="12" width="13.28125" style="16" customWidth="1"/>
    <col min="13" max="13" width="12.7109375" style="0" customWidth="1"/>
  </cols>
  <sheetData>
    <row r="1" spans="1:12" ht="18">
      <c r="A1" s="136" t="s">
        <v>60</v>
      </c>
      <c r="B1" s="136"/>
      <c r="C1" s="136"/>
      <c r="D1" s="136"/>
      <c r="E1" s="136"/>
      <c r="F1" s="136"/>
      <c r="G1" s="136"/>
      <c r="H1" s="136"/>
      <c r="I1" s="136"/>
      <c r="J1" s="136"/>
      <c r="K1" s="136"/>
      <c r="L1" s="136"/>
    </row>
    <row r="2" spans="1:12" ht="15">
      <c r="A2" s="137" t="s">
        <v>0</v>
      </c>
      <c r="B2" s="137"/>
      <c r="C2" s="137"/>
      <c r="D2" s="137"/>
      <c r="E2" s="137"/>
      <c r="F2" s="137"/>
      <c r="G2" s="137"/>
      <c r="H2" s="137"/>
      <c r="I2" s="137"/>
      <c r="J2" s="137"/>
      <c r="K2" s="137"/>
      <c r="L2" s="137"/>
    </row>
    <row r="3" spans="1:12" s="1" customFormat="1" ht="15">
      <c r="A3" s="137" t="s">
        <v>1</v>
      </c>
      <c r="B3" s="137"/>
      <c r="C3" s="137"/>
      <c r="D3" s="137"/>
      <c r="E3" s="137"/>
      <c r="F3" s="137"/>
      <c r="G3" s="137"/>
      <c r="H3" s="137"/>
      <c r="I3" s="137"/>
      <c r="J3" s="137"/>
      <c r="K3" s="137"/>
      <c r="L3" s="137"/>
    </row>
    <row r="4" spans="1:12" s="1" customFormat="1" ht="14.25">
      <c r="A4" s="124" t="s">
        <v>2</v>
      </c>
      <c r="B4" s="124"/>
      <c r="C4" s="124"/>
      <c r="D4" s="124"/>
      <c r="E4" s="124"/>
      <c r="F4" s="124"/>
      <c r="G4" s="124"/>
      <c r="H4" s="124"/>
      <c r="I4" s="124"/>
      <c r="J4" s="124"/>
      <c r="K4" s="124"/>
      <c r="L4" s="124"/>
    </row>
    <row r="5" spans="1:12" s="1" customFormat="1" ht="14.25">
      <c r="A5" s="138" t="s">
        <v>3</v>
      </c>
      <c r="B5" s="138"/>
      <c r="C5" s="138"/>
      <c r="D5" s="138"/>
      <c r="E5" s="138"/>
      <c r="F5" s="138"/>
      <c r="G5" s="138"/>
      <c r="H5" s="138"/>
      <c r="I5" s="138"/>
      <c r="J5" s="138"/>
      <c r="K5" s="138"/>
      <c r="L5" s="138"/>
    </row>
    <row r="6" spans="1:12" s="1" customFormat="1" ht="14.25">
      <c r="A6" s="2"/>
      <c r="B6" s="2"/>
      <c r="C6" s="2"/>
      <c r="D6" s="2"/>
      <c r="E6" s="2"/>
      <c r="F6" s="2"/>
      <c r="G6" s="2"/>
      <c r="H6" s="2"/>
      <c r="I6" s="2"/>
      <c r="J6" s="2"/>
      <c r="K6" s="2"/>
      <c r="L6" s="2"/>
    </row>
    <row r="7" spans="1:12" s="1" customFormat="1" ht="12.75">
      <c r="A7" s="3"/>
      <c r="B7" s="4"/>
      <c r="C7" s="4"/>
      <c r="D7" s="5"/>
      <c r="E7" s="6"/>
      <c r="F7" s="5"/>
      <c r="G7" s="5"/>
      <c r="H7" s="5"/>
      <c r="I7" s="5"/>
      <c r="J7" s="5"/>
      <c r="K7" s="5"/>
      <c r="L7" s="5"/>
    </row>
    <row r="8" spans="1:12" s="7" customFormat="1" ht="14.25" customHeight="1">
      <c r="A8" s="129" t="s">
        <v>61</v>
      </c>
      <c r="B8" s="130"/>
      <c r="C8" s="130"/>
      <c r="D8" s="130"/>
      <c r="E8" s="130"/>
      <c r="F8" s="130"/>
      <c r="G8" s="130"/>
      <c r="H8" s="130"/>
      <c r="I8" s="130"/>
      <c r="J8" s="130"/>
      <c r="K8" s="130"/>
      <c r="L8" s="131"/>
    </row>
    <row r="9" spans="1:12" s="1" customFormat="1" ht="9" customHeight="1">
      <c r="A9" s="3"/>
      <c r="B9" s="4"/>
      <c r="C9" s="4"/>
      <c r="D9" s="5"/>
      <c r="E9" s="6"/>
      <c r="F9" s="5"/>
      <c r="G9" s="5"/>
      <c r="H9" s="5"/>
      <c r="I9" s="5"/>
      <c r="J9" s="5"/>
      <c r="K9" s="5"/>
      <c r="L9" s="5"/>
    </row>
    <row r="10" spans="1:12" s="1" customFormat="1" ht="12.75">
      <c r="A10" s="3"/>
      <c r="B10" s="5"/>
      <c r="C10" s="5"/>
      <c r="D10" s="5"/>
      <c r="E10" s="6"/>
      <c r="F10" s="5"/>
      <c r="G10" s="5"/>
      <c r="H10" s="128" t="s">
        <v>5</v>
      </c>
      <c r="I10" s="128"/>
      <c r="J10" s="128"/>
      <c r="K10" s="128"/>
      <c r="L10" s="128"/>
    </row>
    <row r="11" spans="1:12" s="1" customFormat="1" ht="12.75">
      <c r="A11" s="3"/>
      <c r="B11" s="5"/>
      <c r="C11" s="5"/>
      <c r="D11" s="5"/>
      <c r="E11" s="6"/>
      <c r="F11" s="5"/>
      <c r="G11" s="5"/>
      <c r="H11" s="5"/>
      <c r="I11" s="5"/>
      <c r="J11" s="5"/>
      <c r="K11" s="5"/>
      <c r="L11" s="5"/>
    </row>
    <row r="12" spans="1:12" s="12" customFormat="1" ht="12">
      <c r="A12" s="9"/>
      <c r="B12" s="10" t="s">
        <v>6</v>
      </c>
      <c r="C12" s="10" t="s">
        <v>6</v>
      </c>
      <c r="D12" s="10"/>
      <c r="E12" s="11" t="s">
        <v>7</v>
      </c>
      <c r="F12" s="10" t="s">
        <v>8</v>
      </c>
      <c r="G12" s="10"/>
      <c r="H12" s="10" t="s">
        <v>9</v>
      </c>
      <c r="I12" s="10" t="s">
        <v>83</v>
      </c>
      <c r="J12" s="10" t="s">
        <v>10</v>
      </c>
      <c r="K12" s="10" t="s">
        <v>84</v>
      </c>
      <c r="L12" s="10" t="s">
        <v>49</v>
      </c>
    </row>
    <row r="13" spans="1:12" s="12" customFormat="1" ht="12">
      <c r="A13" s="13" t="s">
        <v>11</v>
      </c>
      <c r="B13" s="8" t="s">
        <v>12</v>
      </c>
      <c r="C13" s="8" t="s">
        <v>13</v>
      </c>
      <c r="D13" s="8" t="s">
        <v>14</v>
      </c>
      <c r="E13" s="14" t="s">
        <v>15</v>
      </c>
      <c r="F13" s="8" t="s">
        <v>16</v>
      </c>
      <c r="G13" s="15"/>
      <c r="H13" s="8" t="s">
        <v>17</v>
      </c>
      <c r="I13" s="8" t="s">
        <v>18</v>
      </c>
      <c r="J13" s="8" t="s">
        <v>19</v>
      </c>
      <c r="K13" s="8" t="s">
        <v>85</v>
      </c>
      <c r="L13" s="8" t="s">
        <v>50</v>
      </c>
    </row>
    <row r="15" spans="1:12" ht="12.75">
      <c r="A15" s="3">
        <v>39904</v>
      </c>
      <c r="B15" s="16">
        <v>36842572.79</v>
      </c>
      <c r="C15" s="16">
        <f aca="true" t="shared" si="0" ref="C15:C26">B15-D15</f>
        <v>33692040.41</v>
      </c>
      <c r="D15" s="16">
        <v>3150532.38</v>
      </c>
      <c r="E15" s="17">
        <v>604</v>
      </c>
      <c r="F15" s="16">
        <f>D15/E15/30</f>
        <v>173.870440397351</v>
      </c>
      <c r="H15" s="16">
        <v>1260213.01</v>
      </c>
      <c r="I15" s="16">
        <v>1134191.67</v>
      </c>
      <c r="J15" s="16">
        <v>315053.23</v>
      </c>
      <c r="K15" s="16">
        <v>315053.23</v>
      </c>
      <c r="L15" s="16">
        <v>126021.3</v>
      </c>
    </row>
    <row r="16" spans="1:12" ht="12.75">
      <c r="A16" s="3">
        <v>39934</v>
      </c>
      <c r="B16" s="16">
        <v>41065169.53</v>
      </c>
      <c r="C16" s="16">
        <f t="shared" si="0"/>
        <v>37333639.69</v>
      </c>
      <c r="D16" s="16">
        <v>3731529.84</v>
      </c>
      <c r="E16" s="17">
        <v>604</v>
      </c>
      <c r="F16" s="16">
        <f>D16/E16/31</f>
        <v>199.291275368511</v>
      </c>
      <c r="H16" s="16">
        <v>1492611.96</v>
      </c>
      <c r="I16" s="16">
        <v>1343350.76</v>
      </c>
      <c r="J16" s="16">
        <v>373152.99</v>
      </c>
      <c r="K16" s="16">
        <v>373152.99</v>
      </c>
      <c r="L16" s="16">
        <v>149261.17</v>
      </c>
    </row>
    <row r="17" spans="1:12" ht="12.75">
      <c r="A17" s="3">
        <v>39965</v>
      </c>
      <c r="B17" s="16">
        <v>33545536.59</v>
      </c>
      <c r="C17" s="16">
        <f t="shared" si="0"/>
        <v>30570411.74</v>
      </c>
      <c r="D17" s="16">
        <v>2975124.85</v>
      </c>
      <c r="E17" s="17">
        <v>604</v>
      </c>
      <c r="F17" s="16">
        <f>D17/E17/30</f>
        <v>164.19011313465782</v>
      </c>
      <c r="H17" s="16">
        <v>1190049.98</v>
      </c>
      <c r="I17" s="16">
        <v>1071044.95</v>
      </c>
      <c r="J17" s="16">
        <v>297512.49</v>
      </c>
      <c r="K17" s="16">
        <v>297512.49</v>
      </c>
      <c r="L17" s="16">
        <v>119004.99</v>
      </c>
    </row>
    <row r="18" spans="1:12" ht="12.75">
      <c r="A18" s="3">
        <v>39995</v>
      </c>
      <c r="B18" s="16">
        <v>37706311.16</v>
      </c>
      <c r="C18" s="16">
        <f t="shared" si="0"/>
        <v>34488704.68</v>
      </c>
      <c r="D18" s="16">
        <v>3217606.48</v>
      </c>
      <c r="E18" s="17">
        <v>604</v>
      </c>
      <c r="F18" s="16">
        <f>D18/E18/31</f>
        <v>171.84396923734244</v>
      </c>
      <c r="H18" s="16">
        <v>1287042.6</v>
      </c>
      <c r="I18" s="16">
        <v>1158338.31</v>
      </c>
      <c r="J18" s="16">
        <v>321760.67</v>
      </c>
      <c r="K18" s="16">
        <v>321760.67</v>
      </c>
      <c r="L18" s="16">
        <v>128704.3</v>
      </c>
    </row>
    <row r="19" spans="1:12" ht="12.75">
      <c r="A19" s="3">
        <v>40026</v>
      </c>
      <c r="B19" s="16">
        <v>38205141.44</v>
      </c>
      <c r="C19" s="16">
        <f t="shared" si="0"/>
        <v>34875187.05</v>
      </c>
      <c r="D19" s="16">
        <v>3329954.39</v>
      </c>
      <c r="E19" s="17">
        <v>604.4193548387096</v>
      </c>
      <c r="F19" s="16">
        <f>D19/E19/31</f>
        <v>177.72078721246731</v>
      </c>
      <c r="H19" s="16">
        <v>1331981.77</v>
      </c>
      <c r="I19" s="16">
        <v>1198783.58</v>
      </c>
      <c r="J19" s="16">
        <v>332995.45</v>
      </c>
      <c r="K19" s="16">
        <v>332995.45</v>
      </c>
      <c r="L19" s="16">
        <v>133198.19</v>
      </c>
    </row>
    <row r="20" spans="1:12" ht="12.75">
      <c r="A20" s="3">
        <v>40057</v>
      </c>
      <c r="B20" s="16">
        <v>35483514.57</v>
      </c>
      <c r="C20" s="16">
        <f t="shared" si="0"/>
        <v>32462945.73</v>
      </c>
      <c r="D20" s="16">
        <v>3020568.84</v>
      </c>
      <c r="E20" s="17">
        <v>605</v>
      </c>
      <c r="F20" s="16">
        <f>D20/E20/30</f>
        <v>166.42252561983472</v>
      </c>
      <c r="H20" s="16">
        <v>1208227.54</v>
      </c>
      <c r="I20" s="16">
        <v>1087404.77</v>
      </c>
      <c r="J20" s="16">
        <v>302056.91</v>
      </c>
      <c r="K20" s="16">
        <v>302056.91</v>
      </c>
      <c r="L20" s="16">
        <v>120822.75</v>
      </c>
    </row>
    <row r="21" spans="1:12" ht="12.75">
      <c r="A21" s="3">
        <v>40087</v>
      </c>
      <c r="B21" s="16">
        <v>35882266.78</v>
      </c>
      <c r="C21" s="16">
        <f t="shared" si="0"/>
        <v>32701357.92</v>
      </c>
      <c r="D21" s="16">
        <v>3180908.86</v>
      </c>
      <c r="E21" s="17">
        <v>605</v>
      </c>
      <c r="F21" s="16">
        <f>D21/E21/31</f>
        <v>169.60324500133297</v>
      </c>
      <c r="H21" s="16">
        <v>1272363.55</v>
      </c>
      <c r="I21" s="16">
        <v>1145127.19</v>
      </c>
      <c r="J21" s="16">
        <v>318090.9</v>
      </c>
      <c r="K21" s="16">
        <v>318090.9</v>
      </c>
      <c r="L21" s="16">
        <v>127236.34</v>
      </c>
    </row>
    <row r="22" spans="1:12" ht="12.75">
      <c r="A22" s="3">
        <v>40118</v>
      </c>
      <c r="B22" s="16">
        <v>31822492.18</v>
      </c>
      <c r="C22" s="16">
        <f t="shared" si="0"/>
        <v>29017554.72</v>
      </c>
      <c r="D22" s="16">
        <v>2804937.46</v>
      </c>
      <c r="E22" s="17">
        <v>605</v>
      </c>
      <c r="F22" s="16">
        <f>D22/E22/30</f>
        <v>154.54200881542698</v>
      </c>
      <c r="H22" s="16">
        <v>1121975.01</v>
      </c>
      <c r="I22" s="16">
        <v>1009777.52</v>
      </c>
      <c r="J22" s="16">
        <v>280493.77</v>
      </c>
      <c r="K22" s="16">
        <v>280493.77</v>
      </c>
      <c r="L22" s="16">
        <v>112197.51</v>
      </c>
    </row>
    <row r="23" spans="1:12" ht="12.75">
      <c r="A23" s="3">
        <v>40148</v>
      </c>
      <c r="B23" s="16">
        <v>29338876.38</v>
      </c>
      <c r="C23" s="16">
        <f t="shared" si="0"/>
        <v>26834802.9</v>
      </c>
      <c r="D23" s="16">
        <v>2504073.48</v>
      </c>
      <c r="E23" s="17">
        <v>605</v>
      </c>
      <c r="F23" s="16">
        <f>D23/E23/31</f>
        <v>133.51498160490536</v>
      </c>
      <c r="H23" s="16">
        <v>1001629.4</v>
      </c>
      <c r="I23" s="16">
        <v>901466.45</v>
      </c>
      <c r="J23" s="16">
        <v>250407.36</v>
      </c>
      <c r="K23" s="16">
        <v>250407.36</v>
      </c>
      <c r="L23" s="16">
        <v>100162.95</v>
      </c>
    </row>
    <row r="24" spans="1:12" ht="12.75">
      <c r="A24" s="3">
        <v>40179</v>
      </c>
      <c r="B24" s="16">
        <v>31240006.86</v>
      </c>
      <c r="C24" s="16">
        <f t="shared" si="0"/>
        <v>28473544.759999998</v>
      </c>
      <c r="D24" s="16">
        <v>2766462.1</v>
      </c>
      <c r="E24" s="17">
        <v>605</v>
      </c>
      <c r="F24" s="16">
        <f>D24/E24/31</f>
        <v>147.5053105838443</v>
      </c>
      <c r="H24" s="16">
        <v>1106584.83</v>
      </c>
      <c r="I24" s="16">
        <v>995926.34</v>
      </c>
      <c r="J24" s="16">
        <v>276646.24</v>
      </c>
      <c r="K24" s="16">
        <v>276646.24</v>
      </c>
      <c r="L24" s="16">
        <v>110658.49</v>
      </c>
    </row>
    <row r="25" spans="1:12" ht="12.75">
      <c r="A25" s="3">
        <v>40210</v>
      </c>
      <c r="B25" s="16">
        <v>31982930.22</v>
      </c>
      <c r="C25" s="16">
        <f t="shared" si="0"/>
        <v>29189132.25</v>
      </c>
      <c r="D25" s="16">
        <v>2793797.97</v>
      </c>
      <c r="E25" s="17">
        <v>605</v>
      </c>
      <c r="F25" s="16">
        <f>D25/E25/28</f>
        <v>164.92313872491147</v>
      </c>
      <c r="H25" s="16">
        <v>1117519.16</v>
      </c>
      <c r="I25" s="16">
        <v>1005767.26</v>
      </c>
      <c r="J25" s="16">
        <v>279379.82</v>
      </c>
      <c r="K25" s="16">
        <v>279379.82</v>
      </c>
      <c r="L25" s="16">
        <v>111751.89</v>
      </c>
    </row>
    <row r="26" spans="1:12" ht="12.75">
      <c r="A26" s="3">
        <v>40238</v>
      </c>
      <c r="B26" s="16">
        <v>39059767.05</v>
      </c>
      <c r="C26" s="16">
        <f t="shared" si="0"/>
        <v>35639670.099999994</v>
      </c>
      <c r="D26" s="16">
        <v>3420096.95</v>
      </c>
      <c r="E26" s="17">
        <v>605</v>
      </c>
      <c r="F26" s="16">
        <f>D26/E26/31</f>
        <v>182.35654225539855</v>
      </c>
      <c r="H26" s="16">
        <v>1368038.77</v>
      </c>
      <c r="I26" s="16">
        <v>1231234.91</v>
      </c>
      <c r="J26" s="16">
        <v>342009.73</v>
      </c>
      <c r="K26" s="16">
        <v>342009.72</v>
      </c>
      <c r="L26" s="16">
        <v>136803.87</v>
      </c>
    </row>
    <row r="27" spans="1:12" ht="13.5" thickBot="1">
      <c r="A27" s="3" t="s">
        <v>20</v>
      </c>
      <c r="B27" s="18">
        <f>SUM(B15:B26)</f>
        <v>422174585.55</v>
      </c>
      <c r="C27" s="18">
        <f>SUM(C15:C26)</f>
        <v>385278991.9499999</v>
      </c>
      <c r="D27" s="18">
        <f>SUM(D15:D26)</f>
        <v>36895593.6</v>
      </c>
      <c r="H27" s="18">
        <f>SUM(H15:H26)</f>
        <v>14758237.58</v>
      </c>
      <c r="I27" s="18">
        <f>SUM(I15:I26)</f>
        <v>13282413.709999997</v>
      </c>
      <c r="J27" s="18">
        <f>SUM(J15:J26)</f>
        <v>3689559.5599999996</v>
      </c>
      <c r="K27" s="18">
        <f>SUM(K15:K26)</f>
        <v>3689559.55</v>
      </c>
      <c r="L27" s="18">
        <f>SUM(L15:L26)</f>
        <v>1475823.75</v>
      </c>
    </row>
    <row r="28" spans="2:12" ht="10.5" customHeight="1" thickTop="1">
      <c r="B28" s="19"/>
      <c r="C28" s="19"/>
      <c r="D28" s="19"/>
      <c r="H28" s="19"/>
      <c r="I28" s="19"/>
      <c r="J28" s="19"/>
      <c r="K28" s="19"/>
      <c r="L28" s="19"/>
    </row>
    <row r="29" spans="1:12" s="22" customFormat="1" ht="12.75">
      <c r="A29" s="20"/>
      <c r="B29" s="21"/>
      <c r="C29" s="21">
        <f>C27/B27</f>
        <v>0.9126058392360751</v>
      </c>
      <c r="D29" s="21">
        <f>D27/B27</f>
        <v>0.08739416076392474</v>
      </c>
      <c r="H29" s="21">
        <f>H27/$D$27</f>
        <v>0.400000003794491</v>
      </c>
      <c r="I29" s="21">
        <f>I27/$D$27</f>
        <v>0.360000000379449</v>
      </c>
      <c r="J29" s="21">
        <f>J27/$D$27</f>
        <v>0.10000000542070149</v>
      </c>
      <c r="K29" s="21">
        <f>K27/$D$27</f>
        <v>0.10000000514966642</v>
      </c>
      <c r="L29" s="21">
        <f>L27/$D$27</f>
        <v>0.04000000016262104</v>
      </c>
    </row>
    <row r="31" spans="1:12" s="23" customFormat="1" ht="12.75">
      <c r="A31" s="129" t="s">
        <v>21</v>
      </c>
      <c r="B31" s="130"/>
      <c r="C31" s="130"/>
      <c r="D31" s="130"/>
      <c r="E31" s="130"/>
      <c r="F31" s="130"/>
      <c r="G31" s="130"/>
      <c r="H31" s="130"/>
      <c r="I31" s="130"/>
      <c r="J31" s="130"/>
      <c r="K31" s="130"/>
      <c r="L31" s="131"/>
    </row>
    <row r="32" ht="12.75">
      <c r="A32" s="24"/>
    </row>
    <row r="33" spans="1:12" s="49" customFormat="1" ht="12.75" customHeight="1">
      <c r="A33" s="45" t="s">
        <v>22</v>
      </c>
      <c r="B33" s="46"/>
      <c r="C33" s="57" t="s">
        <v>94</v>
      </c>
      <c r="D33" s="58"/>
      <c r="E33" s="58"/>
      <c r="F33" s="58"/>
      <c r="G33" s="58"/>
      <c r="H33" s="58"/>
      <c r="I33" s="58"/>
      <c r="J33" s="58"/>
      <c r="K33" s="58"/>
      <c r="L33" s="58"/>
    </row>
    <row r="34" spans="1:12" s="49" customFormat="1" ht="12.75" customHeight="1">
      <c r="A34" s="45"/>
      <c r="B34" s="46"/>
      <c r="C34" s="57" t="s">
        <v>95</v>
      </c>
      <c r="D34" s="58"/>
      <c r="E34" s="58"/>
      <c r="F34" s="58"/>
      <c r="G34" s="58"/>
      <c r="H34" s="58"/>
      <c r="I34" s="58"/>
      <c r="J34" s="58"/>
      <c r="K34" s="58"/>
      <c r="L34" s="58"/>
    </row>
    <row r="35" spans="1:12" ht="6" customHeight="1">
      <c r="A35" s="25"/>
      <c r="B35" s="26"/>
      <c r="C35" s="26"/>
      <c r="E35" s="26"/>
      <c r="F35" s="26"/>
      <c r="G35" s="26"/>
      <c r="H35" s="26"/>
      <c r="I35" s="26"/>
      <c r="J35" s="26"/>
      <c r="K35" s="26"/>
      <c r="L35" s="26"/>
    </row>
    <row r="36" spans="1:12" ht="12.75">
      <c r="A36" s="25" t="s">
        <v>23</v>
      </c>
      <c r="B36" s="26"/>
      <c r="C36" s="26" t="s">
        <v>24</v>
      </c>
      <c r="E36" s="26"/>
      <c r="F36" s="26"/>
      <c r="G36" s="26"/>
      <c r="H36" s="26"/>
      <c r="I36" s="26"/>
      <c r="J36" s="26"/>
      <c r="K36" s="26"/>
      <c r="L36" s="26"/>
    </row>
    <row r="37" spans="1:12" ht="6" customHeight="1">
      <c r="A37" s="25"/>
      <c r="B37" s="26"/>
      <c r="C37" s="26"/>
      <c r="E37" s="26"/>
      <c r="F37" s="26"/>
      <c r="G37" s="26"/>
      <c r="H37" s="26"/>
      <c r="I37" s="26"/>
      <c r="J37" s="26"/>
      <c r="K37" s="26"/>
      <c r="L37" s="26"/>
    </row>
    <row r="38" spans="1:12" ht="12.75">
      <c r="A38" s="25" t="s">
        <v>25</v>
      </c>
      <c r="B38" s="26"/>
      <c r="C38" s="26" t="s">
        <v>64</v>
      </c>
      <c r="E38" s="27"/>
      <c r="F38" s="26"/>
      <c r="G38" s="26"/>
      <c r="H38" s="26"/>
      <c r="I38" s="26"/>
      <c r="J38" s="26"/>
      <c r="K38" s="26"/>
      <c r="L38" s="26"/>
    </row>
    <row r="39" spans="1:12" ht="12.75">
      <c r="A39" s="25"/>
      <c r="B39" s="26"/>
      <c r="C39" s="26" t="s">
        <v>63</v>
      </c>
      <c r="E39" s="27"/>
      <c r="F39" s="26"/>
      <c r="G39" s="26"/>
      <c r="H39" s="26"/>
      <c r="I39" s="26"/>
      <c r="J39" s="26"/>
      <c r="K39" s="26"/>
      <c r="L39" s="26"/>
    </row>
    <row r="40" spans="1:12" ht="6" customHeight="1">
      <c r="A40" s="25"/>
      <c r="B40" s="26"/>
      <c r="C40" s="26"/>
      <c r="E40" s="27"/>
      <c r="F40" s="26"/>
      <c r="G40" s="26"/>
      <c r="H40" s="26"/>
      <c r="I40" s="26"/>
      <c r="J40" s="26"/>
      <c r="K40" s="26"/>
      <c r="L40" s="26"/>
    </row>
    <row r="41" spans="1:12" ht="12.75">
      <c r="A41" s="25" t="s">
        <v>28</v>
      </c>
      <c r="B41" s="26"/>
      <c r="C41" s="26" t="s">
        <v>29</v>
      </c>
      <c r="E41" s="27"/>
      <c r="F41" s="26"/>
      <c r="G41" s="26"/>
      <c r="H41" s="26"/>
      <c r="I41" s="26"/>
      <c r="J41" s="26"/>
      <c r="K41" s="26"/>
      <c r="L41" s="26"/>
    </row>
    <row r="42" spans="1:12" ht="6" customHeight="1">
      <c r="A42" s="25"/>
      <c r="B42" s="26"/>
      <c r="C42" s="26"/>
      <c r="E42" s="27"/>
      <c r="F42" s="26"/>
      <c r="G42" s="26"/>
      <c r="H42" s="26"/>
      <c r="I42" s="26"/>
      <c r="J42" s="26"/>
      <c r="K42" s="26"/>
      <c r="L42" s="26"/>
    </row>
    <row r="43" spans="1:12" s="49" customFormat="1" ht="12.75">
      <c r="A43" s="45" t="s">
        <v>74</v>
      </c>
      <c r="B43" s="46"/>
      <c r="C43" s="46" t="s">
        <v>75</v>
      </c>
      <c r="D43" s="47"/>
      <c r="E43" s="48"/>
      <c r="F43" s="46"/>
      <c r="G43" s="46"/>
      <c r="H43" s="46"/>
      <c r="I43" s="46"/>
      <c r="J43" s="46"/>
      <c r="K43" s="46"/>
      <c r="L43" s="46"/>
    </row>
    <row r="44" spans="1:12" s="49" customFormat="1" ht="12.75">
      <c r="A44" s="45"/>
      <c r="B44" s="46"/>
      <c r="C44" s="46" t="s">
        <v>81</v>
      </c>
      <c r="D44" s="47"/>
      <c r="E44" s="48"/>
      <c r="F44" s="46"/>
      <c r="G44" s="46"/>
      <c r="H44" s="46"/>
      <c r="I44" s="46"/>
      <c r="J44" s="46"/>
      <c r="K44" s="46"/>
      <c r="L44" s="46"/>
    </row>
    <row r="45" spans="1:12" s="49" customFormat="1" ht="12.75">
      <c r="A45" s="45"/>
      <c r="B45" s="46"/>
      <c r="C45" s="46" t="s">
        <v>82</v>
      </c>
      <c r="D45" s="47"/>
      <c r="E45" s="48"/>
      <c r="F45" s="46"/>
      <c r="G45" s="46"/>
      <c r="H45" s="46"/>
      <c r="I45" s="46"/>
      <c r="J45" s="46"/>
      <c r="K45" s="46"/>
      <c r="L45" s="46"/>
    </row>
    <row r="46" spans="1:12" ht="6" customHeight="1">
      <c r="A46" s="25"/>
      <c r="B46" s="26"/>
      <c r="C46" s="26"/>
      <c r="E46" s="27"/>
      <c r="F46" s="26"/>
      <c r="G46" s="26"/>
      <c r="H46" s="26"/>
      <c r="I46" s="26"/>
      <c r="J46" s="26"/>
      <c r="K46" s="26"/>
      <c r="L46" s="26"/>
    </row>
    <row r="47" spans="1:12" s="49" customFormat="1" ht="12.75">
      <c r="A47" s="45" t="s">
        <v>30</v>
      </c>
      <c r="B47" s="46"/>
      <c r="C47" s="46" t="s">
        <v>76</v>
      </c>
      <c r="D47" s="47"/>
      <c r="E47" s="48"/>
      <c r="F47" s="46"/>
      <c r="G47" s="46"/>
      <c r="H47" s="46"/>
      <c r="I47" s="46"/>
      <c r="J47" s="46"/>
      <c r="K47" s="46"/>
      <c r="L47" s="46"/>
    </row>
    <row r="48" spans="1:12" s="49" customFormat="1" ht="12.75">
      <c r="A48" s="45"/>
      <c r="B48" s="46"/>
      <c r="C48" s="46" t="s">
        <v>77</v>
      </c>
      <c r="D48" s="47"/>
      <c r="E48" s="48"/>
      <c r="F48" s="46"/>
      <c r="G48" s="46"/>
      <c r="H48" s="46"/>
      <c r="I48" s="46"/>
      <c r="J48" s="46"/>
      <c r="K48" s="46"/>
      <c r="L48" s="46"/>
    </row>
    <row r="49" spans="1:12" ht="6" customHeight="1">
      <c r="A49" s="25"/>
      <c r="B49" s="26"/>
      <c r="C49" s="26"/>
      <c r="E49" s="27"/>
      <c r="F49" s="26"/>
      <c r="G49" s="26"/>
      <c r="H49" s="26"/>
      <c r="I49" s="26"/>
      <c r="J49" s="26"/>
      <c r="K49" s="26"/>
      <c r="L49" s="26"/>
    </row>
    <row r="50" spans="1:12" s="49" customFormat="1" ht="12.75">
      <c r="A50" s="45" t="s">
        <v>86</v>
      </c>
      <c r="B50" s="46"/>
      <c r="C50" s="46" t="s">
        <v>79</v>
      </c>
      <c r="D50" s="47"/>
      <c r="E50" s="48"/>
      <c r="F50" s="46"/>
      <c r="G50" s="46"/>
      <c r="H50" s="46"/>
      <c r="I50" s="46"/>
      <c r="J50" s="46"/>
      <c r="K50" s="46"/>
      <c r="L50" s="46"/>
    </row>
    <row r="51" spans="1:12" s="49" customFormat="1" ht="12.75">
      <c r="A51" s="50"/>
      <c r="B51" s="46"/>
      <c r="C51" s="46" t="s">
        <v>80</v>
      </c>
      <c r="D51" s="47"/>
      <c r="E51" s="48"/>
      <c r="F51" s="46"/>
      <c r="G51" s="46"/>
      <c r="H51" s="46"/>
      <c r="I51" s="46"/>
      <c r="J51" s="46"/>
      <c r="K51" s="46"/>
      <c r="L51" s="46"/>
    </row>
    <row r="52" spans="1:12" ht="6" customHeight="1">
      <c r="A52" s="29"/>
      <c r="B52" s="30"/>
      <c r="C52" s="30"/>
      <c r="D52" s="30"/>
      <c r="E52" s="31"/>
      <c r="F52" s="30"/>
      <c r="G52" s="30"/>
      <c r="H52" s="30"/>
      <c r="I52" s="30"/>
      <c r="J52" s="30"/>
      <c r="K52" s="30"/>
      <c r="L52" s="30"/>
    </row>
    <row r="53" spans="1:11" ht="12.75">
      <c r="A53" s="25" t="s">
        <v>51</v>
      </c>
      <c r="B53" s="26"/>
      <c r="C53" s="26" t="s">
        <v>65</v>
      </c>
      <c r="E53" s="27"/>
      <c r="F53" s="26"/>
      <c r="G53" s="26"/>
      <c r="H53" s="26"/>
      <c r="I53" s="26"/>
      <c r="J53" s="26"/>
      <c r="K53" s="26"/>
    </row>
    <row r="54" spans="1:11" ht="12.75">
      <c r="A54" s="28"/>
      <c r="B54" s="26"/>
      <c r="C54" s="26" t="s">
        <v>67</v>
      </c>
      <c r="E54" s="27"/>
      <c r="F54" s="26"/>
      <c r="G54" s="26"/>
      <c r="H54" s="26"/>
      <c r="I54" s="26"/>
      <c r="J54" s="26"/>
      <c r="K54" s="26"/>
    </row>
    <row r="55" spans="1:11" ht="12.75">
      <c r="A55" s="28"/>
      <c r="B55" s="26"/>
      <c r="C55" s="26" t="s">
        <v>66</v>
      </c>
      <c r="E55" s="27"/>
      <c r="F55" s="26"/>
      <c r="G55" s="26"/>
      <c r="H55" s="26"/>
      <c r="I55" s="26"/>
      <c r="J55" s="26"/>
      <c r="K55" s="26"/>
    </row>
    <row r="56" spans="1:12" ht="12.75">
      <c r="A56" s="29"/>
      <c r="B56" s="30"/>
      <c r="C56" s="30"/>
      <c r="D56" s="30"/>
      <c r="E56" s="31"/>
      <c r="F56" s="30"/>
      <c r="G56" s="30"/>
      <c r="H56" s="30"/>
      <c r="I56" s="30"/>
      <c r="J56" s="30"/>
      <c r="K56" s="30"/>
      <c r="L56" s="30"/>
    </row>
    <row r="57" spans="1:12" s="23" customFormat="1" ht="12.75">
      <c r="A57" s="129" t="s">
        <v>31</v>
      </c>
      <c r="B57" s="130"/>
      <c r="C57" s="130"/>
      <c r="D57" s="130"/>
      <c r="E57" s="130"/>
      <c r="F57" s="130"/>
      <c r="G57" s="130"/>
      <c r="H57" s="130"/>
      <c r="I57" s="130"/>
      <c r="J57" s="130"/>
      <c r="K57" s="130"/>
      <c r="L57" s="131"/>
    </row>
    <row r="58" ht="12.75">
      <c r="A58" s="24"/>
    </row>
    <row r="59" spans="1:11" ht="13.5">
      <c r="A59" s="32"/>
      <c r="F59" s="10" t="s">
        <v>9</v>
      </c>
      <c r="G59" s="33"/>
      <c r="H59" s="10" t="s">
        <v>83</v>
      </c>
      <c r="I59" s="10" t="s">
        <v>10</v>
      </c>
      <c r="J59" s="51" t="s">
        <v>84</v>
      </c>
      <c r="K59" s="10" t="s">
        <v>49</v>
      </c>
    </row>
    <row r="60" spans="1:11" ht="12.75">
      <c r="A60" s="35"/>
      <c r="F60" s="8" t="s">
        <v>17</v>
      </c>
      <c r="G60" s="36"/>
      <c r="H60" s="8" t="s">
        <v>18</v>
      </c>
      <c r="I60" s="8" t="s">
        <v>19</v>
      </c>
      <c r="J60" s="52" t="s">
        <v>85</v>
      </c>
      <c r="K60" s="8" t="s">
        <v>50</v>
      </c>
    </row>
    <row r="61" spans="2:11" ht="12.75">
      <c r="B61" s="39" t="s">
        <v>35</v>
      </c>
      <c r="C61" s="39"/>
      <c r="D61" s="26"/>
      <c r="E61" s="27"/>
      <c r="F61" s="40">
        <v>0.4</v>
      </c>
      <c r="G61" s="26"/>
      <c r="H61" s="40">
        <v>0.36</v>
      </c>
      <c r="I61" s="40">
        <v>0.1</v>
      </c>
      <c r="J61" s="40">
        <v>0.1</v>
      </c>
      <c r="K61" s="40">
        <v>0.04</v>
      </c>
    </row>
    <row r="62" spans="2:11" ht="12.75">
      <c r="B62" s="39" t="s">
        <v>58</v>
      </c>
      <c r="C62" s="39"/>
      <c r="D62" s="26"/>
      <c r="E62" s="27"/>
      <c r="F62" s="40">
        <v>0.47</v>
      </c>
      <c r="G62" s="26"/>
      <c r="H62" s="40">
        <v>0.29</v>
      </c>
      <c r="I62" s="40">
        <v>0.1</v>
      </c>
      <c r="J62" s="40">
        <v>0.1</v>
      </c>
      <c r="K62" s="40">
        <v>0.04</v>
      </c>
    </row>
    <row r="63" spans="2:11" ht="12.75">
      <c r="B63" s="39" t="s">
        <v>59</v>
      </c>
      <c r="C63" s="39"/>
      <c r="D63" s="26"/>
      <c r="E63" s="27"/>
      <c r="F63" s="40">
        <v>0.51</v>
      </c>
      <c r="G63" s="26"/>
      <c r="H63" s="40">
        <v>0.29</v>
      </c>
      <c r="I63" s="40">
        <v>0.1</v>
      </c>
      <c r="J63" s="40">
        <v>0.1</v>
      </c>
      <c r="K63" s="40">
        <v>0</v>
      </c>
    </row>
    <row r="64" spans="2:11" ht="12.75">
      <c r="B64" s="39" t="s">
        <v>37</v>
      </c>
      <c r="C64" s="39"/>
      <c r="D64" s="26"/>
      <c r="E64" s="27"/>
      <c r="F64" s="40">
        <v>0.53</v>
      </c>
      <c r="G64" s="26"/>
      <c r="H64" s="40">
        <v>0.29</v>
      </c>
      <c r="I64" s="40">
        <v>0.08</v>
      </c>
      <c r="J64" s="40">
        <v>0.1</v>
      </c>
      <c r="K64" s="40">
        <v>0</v>
      </c>
    </row>
    <row r="65" spans="2:11" ht="12.75">
      <c r="B65" s="39" t="s">
        <v>38</v>
      </c>
      <c r="C65" s="39"/>
      <c r="D65" s="26"/>
      <c r="E65" s="27"/>
      <c r="F65" s="40">
        <v>0.56</v>
      </c>
      <c r="G65" s="26"/>
      <c r="H65" s="40">
        <v>0.26</v>
      </c>
      <c r="I65" s="40">
        <v>0.08</v>
      </c>
      <c r="J65" s="40">
        <v>0.1</v>
      </c>
      <c r="K65" s="40">
        <v>0</v>
      </c>
    </row>
    <row r="66" ht="12.75">
      <c r="A66" s="24"/>
    </row>
    <row r="67" spans="1:12" s="23" customFormat="1" ht="12.75">
      <c r="A67" s="132" t="s">
        <v>43</v>
      </c>
      <c r="B67" s="133"/>
      <c r="C67" s="133"/>
      <c r="D67" s="133"/>
      <c r="E67" s="133"/>
      <c r="F67" s="133"/>
      <c r="G67" s="133"/>
      <c r="H67" s="133"/>
      <c r="I67" s="133"/>
      <c r="J67" s="133"/>
      <c r="K67" s="133"/>
      <c r="L67" s="134"/>
    </row>
    <row r="68" spans="1:5" ht="12.75">
      <c r="A68" s="24"/>
      <c r="D68"/>
      <c r="E68" s="16"/>
    </row>
    <row r="69" spans="1:12" ht="52.5" customHeight="1">
      <c r="A69" s="135" t="s">
        <v>62</v>
      </c>
      <c r="B69" s="135"/>
      <c r="C69" s="135"/>
      <c r="D69" s="135"/>
      <c r="E69" s="135"/>
      <c r="F69" s="135"/>
      <c r="G69" s="135"/>
      <c r="H69" s="135"/>
      <c r="I69" s="135"/>
      <c r="J69" s="135"/>
      <c r="K69" s="135"/>
      <c r="L69" s="135"/>
    </row>
    <row r="70" spans="1:5" ht="12.75">
      <c r="A70" s="16"/>
      <c r="D70"/>
      <c r="E70" s="16"/>
    </row>
    <row r="71" spans="2:4" ht="12.75">
      <c r="B71" s="24" t="s">
        <v>44</v>
      </c>
      <c r="C71" s="24"/>
      <c r="D71" s="16">
        <v>314849</v>
      </c>
    </row>
    <row r="72" spans="2:4" ht="12.75">
      <c r="B72" s="24" t="s">
        <v>45</v>
      </c>
      <c r="C72" s="24"/>
      <c r="D72" s="16">
        <v>114563</v>
      </c>
    </row>
    <row r="73" spans="2:4" ht="12.75">
      <c r="B73" s="16" t="s">
        <v>46</v>
      </c>
      <c r="D73" s="16">
        <v>143137</v>
      </c>
    </row>
    <row r="74" ht="12.75">
      <c r="D74" s="16" t="s">
        <v>39</v>
      </c>
    </row>
    <row r="75" ht="12.75">
      <c r="A75" s="24" t="s">
        <v>40</v>
      </c>
    </row>
  </sheetData>
  <sheetProtection/>
  <mergeCells count="11">
    <mergeCell ref="A67:L67"/>
    <mergeCell ref="A69:L69"/>
    <mergeCell ref="A31:L31"/>
    <mergeCell ref="A57:L57"/>
    <mergeCell ref="H10:L10"/>
    <mergeCell ref="A8:L8"/>
    <mergeCell ref="A1:L1"/>
    <mergeCell ref="A2:L2"/>
    <mergeCell ref="A3:L3"/>
    <mergeCell ref="A4:L4"/>
    <mergeCell ref="A5:L5"/>
  </mergeCells>
  <hyperlinks>
    <hyperlink ref="A4" r:id="rId1" display="www.batavia-downs.com"/>
  </hyperlinks>
  <printOptions horizontalCentered="1"/>
  <pageMargins left="0.25" right="0.25" top="0.5" bottom="0.5" header="0.5" footer="0.5"/>
  <pageSetup fitToHeight="1" fitToWidth="1" horizontalDpi="600" verticalDpi="600" orientation="portrait" scale="76" r:id="rId3"/>
  <drawing r:id="rId2"/>
</worksheet>
</file>

<file path=xl/worksheets/sheet16.xml><?xml version="1.0" encoding="utf-8"?>
<worksheet xmlns="http://schemas.openxmlformats.org/spreadsheetml/2006/main" xmlns:r="http://schemas.openxmlformats.org/officeDocument/2006/relationships">
  <sheetPr>
    <pageSetUpPr fitToPage="1"/>
  </sheetPr>
  <dimension ref="A1:L76"/>
  <sheetViews>
    <sheetView zoomScalePageLayoutView="0" workbookViewId="0" topLeftCell="A1">
      <selection activeCell="B28" sqref="B28"/>
    </sheetView>
  </sheetViews>
  <sheetFormatPr defaultColWidth="9.140625" defaultRowHeight="12.75"/>
  <cols>
    <col min="1" max="1" width="9.28125" style="3" customWidth="1"/>
    <col min="2" max="3" width="14.140625" style="16" customWidth="1"/>
    <col min="4" max="4" width="12.7109375" style="16" customWidth="1"/>
    <col min="5" max="5" width="8.8515625" style="17" customWidth="1"/>
    <col min="6" max="6" width="10.28125" style="16" customWidth="1"/>
    <col min="7" max="7" width="1.421875" style="16" customWidth="1"/>
    <col min="8" max="10" width="13.7109375" style="16" customWidth="1"/>
    <col min="11" max="11" width="13.00390625" style="16" customWidth="1"/>
    <col min="12" max="12" width="13.7109375" style="16" customWidth="1"/>
    <col min="13" max="13" width="12.7109375" style="0" customWidth="1"/>
  </cols>
  <sheetData>
    <row r="1" spans="1:12" ht="18">
      <c r="A1" s="136" t="s">
        <v>60</v>
      </c>
      <c r="B1" s="136"/>
      <c r="C1" s="136"/>
      <c r="D1" s="136"/>
      <c r="E1" s="136"/>
      <c r="F1" s="136"/>
      <c r="G1" s="136"/>
      <c r="H1" s="136"/>
      <c r="I1" s="136"/>
      <c r="J1" s="136"/>
      <c r="K1" s="136"/>
      <c r="L1" s="136"/>
    </row>
    <row r="2" spans="1:12" ht="15">
      <c r="A2" s="137" t="s">
        <v>0</v>
      </c>
      <c r="B2" s="137"/>
      <c r="C2" s="137"/>
      <c r="D2" s="137"/>
      <c r="E2" s="137"/>
      <c r="F2" s="137"/>
      <c r="G2" s="137"/>
      <c r="H2" s="137"/>
      <c r="I2" s="137"/>
      <c r="J2" s="137"/>
      <c r="K2" s="137"/>
      <c r="L2" s="137"/>
    </row>
    <row r="3" spans="1:12" s="1" customFormat="1" ht="15">
      <c r="A3" s="137" t="s">
        <v>1</v>
      </c>
      <c r="B3" s="137"/>
      <c r="C3" s="137"/>
      <c r="D3" s="137"/>
      <c r="E3" s="137"/>
      <c r="F3" s="137"/>
      <c r="G3" s="137"/>
      <c r="H3" s="137"/>
      <c r="I3" s="137"/>
      <c r="J3" s="137"/>
      <c r="K3" s="137"/>
      <c r="L3" s="137"/>
    </row>
    <row r="4" spans="1:12" s="1" customFormat="1" ht="14.25">
      <c r="A4" s="124" t="s">
        <v>2</v>
      </c>
      <c r="B4" s="124"/>
      <c r="C4" s="124"/>
      <c r="D4" s="124"/>
      <c r="E4" s="124"/>
      <c r="F4" s="124"/>
      <c r="G4" s="124"/>
      <c r="H4" s="124"/>
      <c r="I4" s="124"/>
      <c r="J4" s="124"/>
      <c r="K4" s="124"/>
      <c r="L4" s="124"/>
    </row>
    <row r="5" spans="1:12" s="1" customFormat="1" ht="14.25">
      <c r="A5" s="138" t="s">
        <v>3</v>
      </c>
      <c r="B5" s="138"/>
      <c r="C5" s="138"/>
      <c r="D5" s="138"/>
      <c r="E5" s="138"/>
      <c r="F5" s="138"/>
      <c r="G5" s="138"/>
      <c r="H5" s="138"/>
      <c r="I5" s="138"/>
      <c r="J5" s="138"/>
      <c r="K5" s="138"/>
      <c r="L5" s="138"/>
    </row>
    <row r="6" spans="1:12" s="1" customFormat="1" ht="14.25">
      <c r="A6" s="2"/>
      <c r="B6" s="2"/>
      <c r="C6" s="2"/>
      <c r="D6" s="2"/>
      <c r="E6" s="2"/>
      <c r="F6" s="2"/>
      <c r="G6" s="2"/>
      <c r="H6" s="2"/>
      <c r="I6" s="2"/>
      <c r="J6" s="2"/>
      <c r="K6" s="2"/>
      <c r="L6" s="2"/>
    </row>
    <row r="7" spans="1:12" s="1" customFormat="1" ht="12.75">
      <c r="A7" s="3"/>
      <c r="B7" s="4"/>
      <c r="C7" s="4"/>
      <c r="D7" s="5"/>
      <c r="E7" s="6"/>
      <c r="F7" s="5"/>
      <c r="G7" s="5"/>
      <c r="H7" s="5"/>
      <c r="I7" s="5"/>
      <c r="J7" s="5"/>
      <c r="K7" s="5"/>
      <c r="L7" s="5"/>
    </row>
    <row r="8" spans="1:12" s="7" customFormat="1" ht="14.25" customHeight="1">
      <c r="A8" s="129" t="s">
        <v>48</v>
      </c>
      <c r="B8" s="130"/>
      <c r="C8" s="130"/>
      <c r="D8" s="130"/>
      <c r="E8" s="130"/>
      <c r="F8" s="130"/>
      <c r="G8" s="130"/>
      <c r="H8" s="130"/>
      <c r="I8" s="130"/>
      <c r="J8" s="130"/>
      <c r="K8" s="130"/>
      <c r="L8" s="131"/>
    </row>
    <row r="9" spans="1:12" s="1" customFormat="1" ht="9" customHeight="1">
      <c r="A9" s="3"/>
      <c r="B9" s="4"/>
      <c r="C9" s="4"/>
      <c r="D9" s="5"/>
      <c r="E9" s="6"/>
      <c r="F9" s="5"/>
      <c r="G9" s="5"/>
      <c r="H9" s="5"/>
      <c r="I9" s="5"/>
      <c r="J9" s="5"/>
      <c r="K9" s="5"/>
      <c r="L9" s="5"/>
    </row>
    <row r="10" spans="1:12" s="1" customFormat="1" ht="12.75">
      <c r="A10" s="3"/>
      <c r="B10" s="5"/>
      <c r="C10" s="5"/>
      <c r="D10" s="5"/>
      <c r="E10" s="6"/>
      <c r="F10" s="5"/>
      <c r="G10" s="5"/>
      <c r="H10" s="128" t="s">
        <v>5</v>
      </c>
      <c r="I10" s="128"/>
      <c r="J10" s="128"/>
      <c r="K10" s="128"/>
      <c r="L10" s="128"/>
    </row>
    <row r="11" spans="1:12" s="1" customFormat="1" ht="7.5" customHeight="1">
      <c r="A11" s="3"/>
      <c r="B11" s="5"/>
      <c r="C11" s="5"/>
      <c r="D11" s="5"/>
      <c r="E11" s="6"/>
      <c r="F11" s="5"/>
      <c r="G11" s="5"/>
      <c r="H11" s="5"/>
      <c r="I11" s="5"/>
      <c r="J11" s="5"/>
      <c r="K11" s="5"/>
      <c r="L11" s="5"/>
    </row>
    <row r="12" spans="1:12" s="12" customFormat="1" ht="12">
      <c r="A12" s="9"/>
      <c r="B12" s="10" t="s">
        <v>6</v>
      </c>
      <c r="C12" s="10" t="s">
        <v>6</v>
      </c>
      <c r="D12" s="10"/>
      <c r="E12" s="11" t="s">
        <v>7</v>
      </c>
      <c r="F12" s="10" t="s">
        <v>8</v>
      </c>
      <c r="G12" s="10"/>
      <c r="H12" s="10" t="s">
        <v>9</v>
      </c>
      <c r="I12" s="10" t="s">
        <v>83</v>
      </c>
      <c r="J12" s="10" t="s">
        <v>10</v>
      </c>
      <c r="K12" s="10" t="s">
        <v>84</v>
      </c>
      <c r="L12" s="10" t="s">
        <v>49</v>
      </c>
    </row>
    <row r="13" spans="1:12" s="12" customFormat="1" ht="12">
      <c r="A13" s="13" t="s">
        <v>11</v>
      </c>
      <c r="B13" s="8" t="s">
        <v>12</v>
      </c>
      <c r="C13" s="8" t="s">
        <v>13</v>
      </c>
      <c r="D13" s="8" t="s">
        <v>14</v>
      </c>
      <c r="E13" s="14" t="s">
        <v>15</v>
      </c>
      <c r="F13" s="8" t="s">
        <v>16</v>
      </c>
      <c r="G13" s="15"/>
      <c r="H13" s="8" t="s">
        <v>17</v>
      </c>
      <c r="I13" s="8" t="s">
        <v>18</v>
      </c>
      <c r="J13" s="8" t="s">
        <v>19</v>
      </c>
      <c r="K13" s="8" t="s">
        <v>85</v>
      </c>
      <c r="L13" s="8" t="s">
        <v>50</v>
      </c>
    </row>
    <row r="15" spans="1:12" ht="12.75">
      <c r="A15" s="3">
        <v>39539</v>
      </c>
      <c r="B15" s="16">
        <v>28446348.51</v>
      </c>
      <c r="C15" s="16">
        <f aca="true" t="shared" si="0" ref="C15:C26">B15-D15</f>
        <v>25960165</v>
      </c>
      <c r="D15" s="16">
        <v>2486183.51</v>
      </c>
      <c r="E15" s="17">
        <v>592</v>
      </c>
      <c r="F15" s="16">
        <f>D15/E15/30</f>
        <v>139.98781024774775</v>
      </c>
      <c r="H15" s="16">
        <v>994473.45</v>
      </c>
      <c r="I15" s="16">
        <v>895026.08</v>
      </c>
      <c r="J15" s="16">
        <v>248618.33</v>
      </c>
      <c r="K15" s="16">
        <v>248618.33</v>
      </c>
      <c r="L15" s="16">
        <v>99447.34</v>
      </c>
    </row>
    <row r="16" spans="1:12" ht="12.75">
      <c r="A16" s="3">
        <v>39569</v>
      </c>
      <c r="B16" s="16">
        <v>37048222.41</v>
      </c>
      <c r="C16" s="16">
        <f t="shared" si="0"/>
        <v>33929999.5</v>
      </c>
      <c r="D16" s="16">
        <v>3118222.91</v>
      </c>
      <c r="E16" s="17">
        <v>592</v>
      </c>
      <c r="F16" s="16">
        <f>D16/E16/31</f>
        <v>169.9118848081953</v>
      </c>
      <c r="H16" s="16">
        <v>1247289.19</v>
      </c>
      <c r="I16" s="16">
        <v>1122560.26</v>
      </c>
      <c r="J16" s="16">
        <v>311822.29</v>
      </c>
      <c r="K16" s="16">
        <v>311822.29</v>
      </c>
      <c r="L16" s="16">
        <v>124728.93</v>
      </c>
    </row>
    <row r="17" spans="1:12" ht="12.75">
      <c r="A17" s="3">
        <v>39600</v>
      </c>
      <c r="B17" s="16">
        <v>32826441.04</v>
      </c>
      <c r="C17" s="16">
        <f t="shared" si="0"/>
        <v>30011394.71</v>
      </c>
      <c r="D17" s="16">
        <v>2815046.33</v>
      </c>
      <c r="E17" s="17">
        <v>592</v>
      </c>
      <c r="F17" s="16">
        <f>D17/E17/30</f>
        <v>158.50486092342345</v>
      </c>
      <c r="H17" s="16">
        <v>1126018.58</v>
      </c>
      <c r="I17" s="16">
        <v>1013416.68</v>
      </c>
      <c r="J17" s="16">
        <v>281504.64</v>
      </c>
      <c r="K17" s="16">
        <v>281504.64</v>
      </c>
      <c r="L17" s="16">
        <v>112601.84</v>
      </c>
    </row>
    <row r="18" spans="1:12" ht="12.75">
      <c r="A18" s="3">
        <v>39630</v>
      </c>
      <c r="B18" s="16">
        <v>33431441.95</v>
      </c>
      <c r="C18" s="16">
        <f t="shared" si="0"/>
        <v>30453478.09</v>
      </c>
      <c r="D18" s="16">
        <v>2977963.86</v>
      </c>
      <c r="E18" s="17">
        <v>592</v>
      </c>
      <c r="F18" s="16">
        <f>D18/E18/31</f>
        <v>162.26917284219704</v>
      </c>
      <c r="H18" s="16">
        <v>1191185.57</v>
      </c>
      <c r="I18" s="16">
        <v>1072067</v>
      </c>
      <c r="J18" s="16">
        <v>297796.42</v>
      </c>
      <c r="K18" s="16">
        <v>297796.42</v>
      </c>
      <c r="L18" s="16">
        <v>119118.55</v>
      </c>
    </row>
    <row r="19" spans="1:12" ht="12.75">
      <c r="A19" s="3">
        <v>39661</v>
      </c>
      <c r="B19" s="16">
        <v>37727270.53</v>
      </c>
      <c r="C19" s="16">
        <f t="shared" si="0"/>
        <v>34499929.49</v>
      </c>
      <c r="D19" s="16">
        <v>3227341.04</v>
      </c>
      <c r="E19" s="17">
        <v>599.8387096774194</v>
      </c>
      <c r="F19" s="16">
        <f>D19/E19/31</f>
        <v>173.55961495025542</v>
      </c>
      <c r="H19" s="16">
        <v>1290936.48</v>
      </c>
      <c r="I19" s="16">
        <v>1161842.79</v>
      </c>
      <c r="J19" s="16">
        <v>322734.08</v>
      </c>
      <c r="K19" s="16">
        <v>322734.08</v>
      </c>
      <c r="L19" s="16">
        <v>129093.65</v>
      </c>
    </row>
    <row r="20" spans="1:12" ht="12.75">
      <c r="A20" s="3">
        <v>39692</v>
      </c>
      <c r="B20" s="16">
        <v>31388667.77</v>
      </c>
      <c r="C20" s="16">
        <f t="shared" si="0"/>
        <v>28670560.66</v>
      </c>
      <c r="D20" s="16">
        <v>2718107.11</v>
      </c>
      <c r="E20" s="17">
        <v>601</v>
      </c>
      <c r="F20" s="16">
        <f>D20/E20/30</f>
        <v>150.75469273433166</v>
      </c>
      <c r="H20" s="16">
        <v>1087242.89</v>
      </c>
      <c r="I20" s="16">
        <v>978518.55</v>
      </c>
      <c r="J20" s="16">
        <v>271810.7</v>
      </c>
      <c r="K20" s="16">
        <v>271810.7</v>
      </c>
      <c r="L20" s="16">
        <v>108724.29</v>
      </c>
    </row>
    <row r="21" spans="1:12" ht="12.75">
      <c r="A21" s="3">
        <v>39722</v>
      </c>
      <c r="B21" s="16">
        <v>33653753.69</v>
      </c>
      <c r="C21" s="16">
        <f t="shared" si="0"/>
        <v>30746582.259999998</v>
      </c>
      <c r="D21" s="16">
        <v>2907171.43</v>
      </c>
      <c r="E21" s="17">
        <v>601</v>
      </c>
      <c r="F21" s="16">
        <f>D21/E21/31</f>
        <v>156.03947345821481</v>
      </c>
      <c r="H21" s="16">
        <v>1162868.6</v>
      </c>
      <c r="I21" s="16">
        <v>1046581.68</v>
      </c>
      <c r="J21" s="16">
        <v>290717.14</v>
      </c>
      <c r="K21" s="16">
        <v>290717.14</v>
      </c>
      <c r="L21" s="16">
        <v>116286.85</v>
      </c>
    </row>
    <row r="22" spans="1:12" ht="12.75">
      <c r="A22" s="3">
        <v>39753</v>
      </c>
      <c r="B22" s="16">
        <v>31366372.55</v>
      </c>
      <c r="C22" s="16">
        <f t="shared" si="0"/>
        <v>28711944.42</v>
      </c>
      <c r="D22" s="16">
        <v>2654428.13</v>
      </c>
      <c r="E22" s="17">
        <v>601</v>
      </c>
      <c r="F22" s="16">
        <f>D22/E22/30</f>
        <v>147.2228580144204</v>
      </c>
      <c r="H22" s="16">
        <v>1061771.26</v>
      </c>
      <c r="I22" s="16">
        <v>955594.14</v>
      </c>
      <c r="J22" s="16">
        <v>265442.85</v>
      </c>
      <c r="K22" s="16">
        <v>265442.85</v>
      </c>
      <c r="L22" s="16">
        <v>106177.13</v>
      </c>
    </row>
    <row r="23" spans="1:12" ht="12.75">
      <c r="A23" s="3">
        <v>39783</v>
      </c>
      <c r="B23" s="16">
        <v>28239203.59</v>
      </c>
      <c r="C23" s="16">
        <f t="shared" si="0"/>
        <v>25866716.75</v>
      </c>
      <c r="D23" s="16">
        <v>2372486.84</v>
      </c>
      <c r="E23" s="17">
        <v>603.3225806451613</v>
      </c>
      <c r="F23" s="16">
        <f>D23/E23/31</f>
        <v>126.8506036464738</v>
      </c>
      <c r="H23" s="16">
        <v>948994.75</v>
      </c>
      <c r="I23" s="16">
        <v>854095.26</v>
      </c>
      <c r="J23" s="16">
        <v>237248.69</v>
      </c>
      <c r="K23" s="16">
        <v>237248.69</v>
      </c>
      <c r="L23" s="16">
        <v>94899.49</v>
      </c>
    </row>
    <row r="24" spans="1:12" ht="12.75">
      <c r="A24" s="3">
        <v>39814</v>
      </c>
      <c r="B24" s="16">
        <v>29003981.54</v>
      </c>
      <c r="C24" s="16">
        <f t="shared" si="0"/>
        <v>26510008.23</v>
      </c>
      <c r="D24" s="16">
        <v>2493973.31</v>
      </c>
      <c r="E24" s="17">
        <v>604</v>
      </c>
      <c r="F24" s="16">
        <f>D24/E24/31</f>
        <v>133.1966091647084</v>
      </c>
      <c r="H24" s="16">
        <v>997589.36</v>
      </c>
      <c r="I24" s="16">
        <v>897830.39</v>
      </c>
      <c r="J24" s="16">
        <v>249397.37</v>
      </c>
      <c r="K24" s="16">
        <v>249397.37</v>
      </c>
      <c r="L24" s="16">
        <v>99758.93</v>
      </c>
    </row>
    <row r="25" spans="1:12" ht="12.75">
      <c r="A25" s="3">
        <v>39845</v>
      </c>
      <c r="B25" s="16">
        <v>32224683.17</v>
      </c>
      <c r="C25" s="16">
        <f t="shared" si="0"/>
        <v>29515066.560000002</v>
      </c>
      <c r="D25" s="16">
        <v>2709616.61</v>
      </c>
      <c r="E25" s="17">
        <v>604</v>
      </c>
      <c r="F25" s="16">
        <f>D25/E25/28</f>
        <v>160.21857911542102</v>
      </c>
      <c r="H25" s="16">
        <v>1083846.69</v>
      </c>
      <c r="I25" s="16">
        <v>975462</v>
      </c>
      <c r="J25" s="16">
        <v>270961.68</v>
      </c>
      <c r="K25" s="16">
        <v>270961.68</v>
      </c>
      <c r="L25" s="16">
        <v>108384.65</v>
      </c>
    </row>
    <row r="26" spans="1:12" ht="12.75">
      <c r="A26" s="3">
        <v>39873</v>
      </c>
      <c r="B26" s="16">
        <v>38420309.27</v>
      </c>
      <c r="C26" s="16">
        <f t="shared" si="0"/>
        <v>35227935.67</v>
      </c>
      <c r="D26" s="16">
        <v>3192373.6</v>
      </c>
      <c r="E26" s="17">
        <v>604</v>
      </c>
      <c r="F26" s="16">
        <f>D26/E26/31</f>
        <v>170.49634693441573</v>
      </c>
      <c r="H26" s="16">
        <v>1276949.48</v>
      </c>
      <c r="I26" s="16">
        <v>1149254.52</v>
      </c>
      <c r="J26" s="16">
        <v>319237.38</v>
      </c>
      <c r="K26" s="16">
        <v>319237.38</v>
      </c>
      <c r="L26" s="16">
        <v>127694.94</v>
      </c>
    </row>
    <row r="27" spans="1:12" ht="13.5" thickBot="1">
      <c r="A27" s="3" t="s">
        <v>20</v>
      </c>
      <c r="B27" s="18">
        <f>SUM(B15:B26)</f>
        <v>393776696.02000004</v>
      </c>
      <c r="C27" s="18">
        <f>SUM(C15:C26)</f>
        <v>360103781.34000003</v>
      </c>
      <c r="D27" s="18">
        <f>SUM(D15:D26)</f>
        <v>33672914.67999999</v>
      </c>
      <c r="H27" s="18">
        <f>SUM(H15:H26)</f>
        <v>13469166.299999999</v>
      </c>
      <c r="I27" s="18">
        <f>SUM(I15:I26)</f>
        <v>12122249.35</v>
      </c>
      <c r="J27" s="18">
        <f>SUM(J15:J26)</f>
        <v>3367291.5700000003</v>
      </c>
      <c r="K27" s="18">
        <f>SUM(K15:K26)</f>
        <v>3367291.5700000003</v>
      </c>
      <c r="L27" s="18">
        <f>SUM(L15:L26)</f>
        <v>1346916.5899999999</v>
      </c>
    </row>
    <row r="28" spans="2:12" ht="10.5" customHeight="1" thickTop="1">
      <c r="B28" s="19"/>
      <c r="C28" s="19"/>
      <c r="D28" s="19"/>
      <c r="H28" s="19"/>
      <c r="I28" s="19"/>
      <c r="J28" s="19"/>
      <c r="K28" s="19"/>
      <c r="L28" s="19"/>
    </row>
    <row r="29" spans="1:12" s="22" customFormat="1" ht="12.75">
      <c r="A29" s="20"/>
      <c r="B29" s="21"/>
      <c r="C29" s="21">
        <f>C27/B27</f>
        <v>0.9144872842391624</v>
      </c>
      <c r="D29" s="21">
        <f>D27/B27</f>
        <v>0.08551271576083755</v>
      </c>
      <c r="H29" s="21">
        <f>H27/$D$27</f>
        <v>0.4000000127105125</v>
      </c>
      <c r="I29" s="21">
        <f>I27/$D$27</f>
        <v>0.3600000019362744</v>
      </c>
      <c r="J29" s="21">
        <f>J27/$D$27</f>
        <v>0.10000000302914085</v>
      </c>
      <c r="K29" s="21">
        <f>K27/$D$27</f>
        <v>0.10000000302914085</v>
      </c>
      <c r="L29" s="21">
        <f>L27/$D$27</f>
        <v>0.04000000008315289</v>
      </c>
    </row>
    <row r="31" spans="1:12" s="23" customFormat="1" ht="12.75">
      <c r="A31" s="129" t="s">
        <v>21</v>
      </c>
      <c r="B31" s="130"/>
      <c r="C31" s="130"/>
      <c r="D31" s="130"/>
      <c r="E31" s="130"/>
      <c r="F31" s="130"/>
      <c r="G31" s="130"/>
      <c r="H31" s="130"/>
      <c r="I31" s="130"/>
      <c r="J31" s="130"/>
      <c r="K31" s="130"/>
      <c r="L31" s="131"/>
    </row>
    <row r="32" ht="12.75">
      <c r="A32" s="24"/>
    </row>
    <row r="33" spans="1:12" s="49" customFormat="1" ht="12.75" customHeight="1">
      <c r="A33" s="45" t="s">
        <v>22</v>
      </c>
      <c r="B33" s="46"/>
      <c r="C33" s="57" t="s">
        <v>94</v>
      </c>
      <c r="D33" s="58"/>
      <c r="E33" s="58"/>
      <c r="F33" s="58"/>
      <c r="G33" s="58"/>
      <c r="H33" s="58"/>
      <c r="I33" s="58"/>
      <c r="J33" s="58"/>
      <c r="K33" s="58"/>
      <c r="L33" s="58"/>
    </row>
    <row r="34" spans="1:12" s="49" customFormat="1" ht="12.75" customHeight="1">
      <c r="A34" s="45"/>
      <c r="B34" s="46"/>
      <c r="C34" s="57" t="s">
        <v>95</v>
      </c>
      <c r="D34" s="58"/>
      <c r="E34" s="58"/>
      <c r="F34" s="58"/>
      <c r="G34" s="58"/>
      <c r="H34" s="58"/>
      <c r="I34" s="58"/>
      <c r="J34" s="58"/>
      <c r="K34" s="58"/>
      <c r="L34" s="58"/>
    </row>
    <row r="35" spans="1:12" ht="6" customHeight="1">
      <c r="A35" s="25"/>
      <c r="B35" s="26"/>
      <c r="C35" s="26"/>
      <c r="E35" s="26"/>
      <c r="F35" s="26"/>
      <c r="G35" s="26"/>
      <c r="H35" s="26"/>
      <c r="I35" s="26"/>
      <c r="J35" s="26"/>
      <c r="K35" s="26"/>
      <c r="L35" s="26"/>
    </row>
    <row r="36" spans="1:12" ht="12.75">
      <c r="A36" s="25" t="s">
        <v>23</v>
      </c>
      <c r="B36" s="26"/>
      <c r="C36" s="26" t="s">
        <v>24</v>
      </c>
      <c r="E36" s="26"/>
      <c r="F36" s="26"/>
      <c r="G36" s="26"/>
      <c r="H36" s="26"/>
      <c r="I36" s="26"/>
      <c r="J36" s="26"/>
      <c r="K36" s="26"/>
      <c r="L36" s="26"/>
    </row>
    <row r="37" spans="1:12" ht="6" customHeight="1">
      <c r="A37" s="25"/>
      <c r="B37" s="26"/>
      <c r="C37" s="26"/>
      <c r="E37" s="26"/>
      <c r="F37" s="26"/>
      <c r="G37" s="26"/>
      <c r="H37" s="26"/>
      <c r="I37" s="26"/>
      <c r="J37" s="26"/>
      <c r="K37" s="26"/>
      <c r="L37" s="26"/>
    </row>
    <row r="38" spans="1:12" ht="12.75">
      <c r="A38" s="25" t="s">
        <v>25</v>
      </c>
      <c r="B38" s="26"/>
      <c r="C38" s="26" t="s">
        <v>52</v>
      </c>
      <c r="E38" s="27"/>
      <c r="F38" s="26"/>
      <c r="G38" s="26"/>
      <c r="H38" s="26"/>
      <c r="I38" s="26"/>
      <c r="J38" s="26"/>
      <c r="K38" s="26"/>
      <c r="L38" s="26"/>
    </row>
    <row r="39" spans="1:12" ht="12.75">
      <c r="A39" s="25"/>
      <c r="B39" s="26"/>
      <c r="C39" s="26" t="s">
        <v>53</v>
      </c>
      <c r="E39" s="27"/>
      <c r="F39" s="26"/>
      <c r="G39" s="26"/>
      <c r="H39" s="26"/>
      <c r="I39" s="26"/>
      <c r="J39" s="26"/>
      <c r="K39" s="26"/>
      <c r="L39" s="26"/>
    </row>
    <row r="40" spans="1:12" ht="6" customHeight="1">
      <c r="A40" s="25"/>
      <c r="B40" s="26"/>
      <c r="C40" s="26"/>
      <c r="E40" s="27"/>
      <c r="F40" s="26"/>
      <c r="G40" s="26"/>
      <c r="H40" s="26"/>
      <c r="I40" s="26"/>
      <c r="J40" s="26"/>
      <c r="K40" s="26"/>
      <c r="L40" s="26"/>
    </row>
    <row r="41" spans="1:12" ht="12.75">
      <c r="A41" s="25" t="s">
        <v>28</v>
      </c>
      <c r="B41" s="26"/>
      <c r="C41" s="26" t="s">
        <v>29</v>
      </c>
      <c r="E41" s="27"/>
      <c r="F41" s="26"/>
      <c r="G41" s="26"/>
      <c r="H41" s="26"/>
      <c r="I41" s="26"/>
      <c r="J41" s="26"/>
      <c r="K41" s="26"/>
      <c r="L41" s="26"/>
    </row>
    <row r="42" spans="1:12" ht="6" customHeight="1">
      <c r="A42" s="25"/>
      <c r="B42" s="26"/>
      <c r="C42" s="26"/>
      <c r="E42" s="27"/>
      <c r="F42" s="26"/>
      <c r="G42" s="26"/>
      <c r="H42" s="26"/>
      <c r="I42" s="26"/>
      <c r="J42" s="26"/>
      <c r="K42" s="26"/>
      <c r="L42" s="26"/>
    </row>
    <row r="43" spans="1:12" s="49" customFormat="1" ht="12.75">
      <c r="A43" s="45" t="s">
        <v>74</v>
      </c>
      <c r="B43" s="46"/>
      <c r="C43" s="46" t="s">
        <v>75</v>
      </c>
      <c r="D43" s="47"/>
      <c r="E43" s="48"/>
      <c r="F43" s="46"/>
      <c r="G43" s="46"/>
      <c r="H43" s="46"/>
      <c r="I43" s="46"/>
      <c r="J43" s="46"/>
      <c r="K43" s="46"/>
      <c r="L43" s="46"/>
    </row>
    <row r="44" spans="1:12" s="49" customFormat="1" ht="12.75">
      <c r="A44" s="45"/>
      <c r="B44" s="46"/>
      <c r="C44" s="46" t="s">
        <v>81</v>
      </c>
      <c r="D44" s="47"/>
      <c r="E44" s="48"/>
      <c r="F44" s="46"/>
      <c r="G44" s="46"/>
      <c r="H44" s="46"/>
      <c r="I44" s="46"/>
      <c r="J44" s="46"/>
      <c r="K44" s="46"/>
      <c r="L44" s="46"/>
    </row>
    <row r="45" spans="1:12" s="49" customFormat="1" ht="12.75">
      <c r="A45" s="45"/>
      <c r="B45" s="46"/>
      <c r="C45" s="46" t="s">
        <v>82</v>
      </c>
      <c r="D45" s="47"/>
      <c r="E45" s="48"/>
      <c r="F45" s="46"/>
      <c r="G45" s="46"/>
      <c r="H45" s="46"/>
      <c r="I45" s="46"/>
      <c r="J45" s="46"/>
      <c r="K45" s="46"/>
      <c r="L45" s="46"/>
    </row>
    <row r="46" spans="1:12" ht="6" customHeight="1">
      <c r="A46" s="25"/>
      <c r="B46" s="26"/>
      <c r="C46" s="26"/>
      <c r="E46" s="27"/>
      <c r="F46" s="26"/>
      <c r="G46" s="26"/>
      <c r="H46" s="26"/>
      <c r="I46" s="26"/>
      <c r="J46" s="26"/>
      <c r="K46" s="26"/>
      <c r="L46" s="26"/>
    </row>
    <row r="47" spans="1:12" s="49" customFormat="1" ht="12.75">
      <c r="A47" s="45" t="s">
        <v>30</v>
      </c>
      <c r="B47" s="46"/>
      <c r="C47" s="46" t="s">
        <v>76</v>
      </c>
      <c r="D47" s="47"/>
      <c r="E47" s="48"/>
      <c r="F47" s="46"/>
      <c r="G47" s="46"/>
      <c r="H47" s="46"/>
      <c r="I47" s="46"/>
      <c r="J47" s="46"/>
      <c r="K47" s="46"/>
      <c r="L47" s="46"/>
    </row>
    <row r="48" spans="1:12" s="49" customFormat="1" ht="12.75">
      <c r="A48" s="45"/>
      <c r="B48" s="46"/>
      <c r="C48" s="46" t="s">
        <v>77</v>
      </c>
      <c r="D48" s="47"/>
      <c r="E48" s="48"/>
      <c r="F48" s="46"/>
      <c r="G48" s="46"/>
      <c r="H48" s="46"/>
      <c r="I48" s="46"/>
      <c r="J48" s="46"/>
      <c r="K48" s="46"/>
      <c r="L48" s="46"/>
    </row>
    <row r="49" spans="1:12" ht="6" customHeight="1">
      <c r="A49" s="25"/>
      <c r="B49" s="26"/>
      <c r="C49" s="26"/>
      <c r="E49" s="27"/>
      <c r="F49" s="26"/>
      <c r="G49" s="26"/>
      <c r="H49" s="26"/>
      <c r="I49" s="26"/>
      <c r="J49" s="26"/>
      <c r="K49" s="26"/>
      <c r="L49" s="26"/>
    </row>
    <row r="50" spans="1:12" s="49" customFormat="1" ht="12.75">
      <c r="A50" s="45" t="s">
        <v>86</v>
      </c>
      <c r="B50" s="46"/>
      <c r="C50" s="46" t="s">
        <v>79</v>
      </c>
      <c r="D50" s="47"/>
      <c r="E50" s="48"/>
      <c r="F50" s="46"/>
      <c r="G50" s="46"/>
      <c r="H50" s="46"/>
      <c r="I50" s="46"/>
      <c r="J50" s="46"/>
      <c r="K50" s="46"/>
      <c r="L50" s="46"/>
    </row>
    <row r="51" spans="1:12" s="49" customFormat="1" ht="12.75">
      <c r="A51" s="50"/>
      <c r="B51" s="46"/>
      <c r="C51" s="46" t="s">
        <v>80</v>
      </c>
      <c r="D51" s="47"/>
      <c r="E51" s="48"/>
      <c r="F51" s="46"/>
      <c r="G51" s="46"/>
      <c r="H51" s="46"/>
      <c r="I51" s="46"/>
      <c r="J51" s="46"/>
      <c r="K51" s="46"/>
      <c r="L51" s="46"/>
    </row>
    <row r="52" spans="1:12" ht="6" customHeight="1">
      <c r="A52" s="29"/>
      <c r="B52" s="30"/>
      <c r="C52" s="30"/>
      <c r="D52" s="30"/>
      <c r="E52" s="31"/>
      <c r="F52" s="30"/>
      <c r="G52" s="30"/>
      <c r="H52" s="30"/>
      <c r="I52" s="30"/>
      <c r="J52" s="30"/>
      <c r="K52" s="30"/>
      <c r="L52" s="30"/>
    </row>
    <row r="53" spans="1:11" ht="12.75">
      <c r="A53" s="25" t="s">
        <v>51</v>
      </c>
      <c r="B53" s="26"/>
      <c r="C53" s="26" t="s">
        <v>54</v>
      </c>
      <c r="E53" s="27"/>
      <c r="F53" s="26"/>
      <c r="G53" s="26"/>
      <c r="H53" s="26"/>
      <c r="I53" s="26"/>
      <c r="J53" s="26"/>
      <c r="K53" s="26"/>
    </row>
    <row r="54" spans="1:11" ht="12.75">
      <c r="A54" s="28"/>
      <c r="B54" s="26"/>
      <c r="C54" s="26" t="s">
        <v>56</v>
      </c>
      <c r="E54" s="27"/>
      <c r="F54" s="26"/>
      <c r="G54" s="26"/>
      <c r="H54" s="26"/>
      <c r="I54" s="26"/>
      <c r="J54" s="26"/>
      <c r="K54" s="26"/>
    </row>
    <row r="55" spans="1:11" ht="12.75">
      <c r="A55" s="28"/>
      <c r="B55" s="26"/>
      <c r="C55" s="26" t="s">
        <v>55</v>
      </c>
      <c r="E55" s="27"/>
      <c r="F55" s="26"/>
      <c r="G55" s="26"/>
      <c r="H55" s="26"/>
      <c r="I55" s="26"/>
      <c r="J55" s="26"/>
      <c r="K55" s="26"/>
    </row>
    <row r="56" spans="1:12" ht="12.75">
      <c r="A56" s="29"/>
      <c r="B56" s="30"/>
      <c r="C56" s="30"/>
      <c r="D56" s="30"/>
      <c r="E56" s="31"/>
      <c r="F56" s="30"/>
      <c r="G56" s="30"/>
      <c r="H56" s="30"/>
      <c r="I56" s="30"/>
      <c r="J56" s="30"/>
      <c r="K56" s="30"/>
      <c r="L56" s="30"/>
    </row>
    <row r="57" spans="1:12" s="23" customFormat="1" ht="12.75">
      <c r="A57" s="129" t="s">
        <v>31</v>
      </c>
      <c r="B57" s="130"/>
      <c r="C57" s="130"/>
      <c r="D57" s="130"/>
      <c r="E57" s="130"/>
      <c r="F57" s="130"/>
      <c r="G57" s="130"/>
      <c r="H57" s="130"/>
      <c r="I57" s="130"/>
      <c r="J57" s="130"/>
      <c r="K57" s="130"/>
      <c r="L57" s="131"/>
    </row>
    <row r="58" ht="12.75">
      <c r="A58" s="24"/>
    </row>
    <row r="59" spans="1:11" ht="13.5">
      <c r="A59" s="32"/>
      <c r="F59" s="10" t="s">
        <v>9</v>
      </c>
      <c r="G59" s="33"/>
      <c r="H59" s="10" t="s">
        <v>83</v>
      </c>
      <c r="I59" s="10" t="s">
        <v>10</v>
      </c>
      <c r="J59" s="51" t="s">
        <v>84</v>
      </c>
      <c r="K59" s="10" t="s">
        <v>49</v>
      </c>
    </row>
    <row r="60" spans="1:11" ht="12.75">
      <c r="A60" s="35"/>
      <c r="F60" s="8" t="s">
        <v>17</v>
      </c>
      <c r="G60" s="36"/>
      <c r="H60" s="8" t="s">
        <v>18</v>
      </c>
      <c r="I60" s="8" t="s">
        <v>19</v>
      </c>
      <c r="J60" s="52" t="s">
        <v>85</v>
      </c>
      <c r="K60" s="8" t="s">
        <v>50</v>
      </c>
    </row>
    <row r="61" spans="2:11" ht="12.75">
      <c r="B61" s="39" t="s">
        <v>35</v>
      </c>
      <c r="C61" s="39"/>
      <c r="D61" s="26"/>
      <c r="E61" s="27"/>
      <c r="F61" s="40">
        <v>0.4</v>
      </c>
      <c r="G61" s="26"/>
      <c r="H61" s="40">
        <v>0.36</v>
      </c>
      <c r="I61" s="40">
        <v>0.1</v>
      </c>
      <c r="J61" s="40">
        <v>0.1</v>
      </c>
      <c r="K61" s="40">
        <v>0.04</v>
      </c>
    </row>
    <row r="62" spans="2:11" ht="12.75">
      <c r="B62" s="39" t="s">
        <v>58</v>
      </c>
      <c r="C62" s="39"/>
      <c r="D62" s="26"/>
      <c r="E62" s="27"/>
      <c r="F62" s="40">
        <v>0.47</v>
      </c>
      <c r="G62" s="26"/>
      <c r="H62" s="40">
        <v>0.29</v>
      </c>
      <c r="I62" s="40">
        <v>0.1</v>
      </c>
      <c r="J62" s="40">
        <v>0.1</v>
      </c>
      <c r="K62" s="40">
        <v>0.04</v>
      </c>
    </row>
    <row r="63" spans="2:11" ht="12.75">
      <c r="B63" s="39" t="s">
        <v>59</v>
      </c>
      <c r="C63" s="39"/>
      <c r="D63" s="26"/>
      <c r="E63" s="27"/>
      <c r="F63" s="40">
        <v>0.51</v>
      </c>
      <c r="G63" s="26"/>
      <c r="H63" s="40">
        <v>0.29</v>
      </c>
      <c r="I63" s="40">
        <v>0.1</v>
      </c>
      <c r="J63" s="40">
        <v>0.1</v>
      </c>
      <c r="K63" s="40">
        <v>0</v>
      </c>
    </row>
    <row r="64" spans="2:11" ht="12.75">
      <c r="B64" s="39" t="s">
        <v>37</v>
      </c>
      <c r="C64" s="39"/>
      <c r="D64" s="26"/>
      <c r="E64" s="27"/>
      <c r="F64" s="40">
        <v>0.53</v>
      </c>
      <c r="G64" s="26"/>
      <c r="H64" s="40">
        <v>0.29</v>
      </c>
      <c r="I64" s="40">
        <v>0.08</v>
      </c>
      <c r="J64" s="40">
        <v>0.1</v>
      </c>
      <c r="K64" s="40">
        <v>0</v>
      </c>
    </row>
    <row r="65" spans="2:11" ht="12.75">
      <c r="B65" s="39" t="s">
        <v>38</v>
      </c>
      <c r="C65" s="39"/>
      <c r="D65" s="26"/>
      <c r="E65" s="27"/>
      <c r="F65" s="40">
        <v>0.56</v>
      </c>
      <c r="G65" s="26"/>
      <c r="H65" s="40">
        <v>0.26</v>
      </c>
      <c r="I65" s="40">
        <v>0.08</v>
      </c>
      <c r="J65" s="40">
        <v>0.1</v>
      </c>
      <c r="K65" s="40">
        <v>0</v>
      </c>
    </row>
    <row r="66" ht="12.75">
      <c r="A66" s="24"/>
    </row>
    <row r="67" spans="1:12" s="23" customFormat="1" ht="12.75">
      <c r="A67" s="132" t="s">
        <v>43</v>
      </c>
      <c r="B67" s="133"/>
      <c r="C67" s="133"/>
      <c r="D67" s="133"/>
      <c r="E67" s="133"/>
      <c r="F67" s="133"/>
      <c r="G67" s="133"/>
      <c r="H67" s="133"/>
      <c r="I67" s="133"/>
      <c r="J67" s="133"/>
      <c r="K67" s="133"/>
      <c r="L67" s="134"/>
    </row>
    <row r="68" spans="1:5" ht="12.75">
      <c r="A68" s="24"/>
      <c r="D68"/>
      <c r="E68" s="16"/>
    </row>
    <row r="69" spans="1:12" ht="51.75" customHeight="1">
      <c r="A69" s="135" t="s">
        <v>57</v>
      </c>
      <c r="B69" s="135"/>
      <c r="C69" s="135"/>
      <c r="D69" s="135"/>
      <c r="E69" s="135"/>
      <c r="F69" s="135"/>
      <c r="G69" s="135"/>
      <c r="H69" s="135"/>
      <c r="I69" s="135"/>
      <c r="J69" s="135"/>
      <c r="K69" s="135"/>
      <c r="L69" s="135"/>
    </row>
    <row r="70" spans="1:5" ht="12.75">
      <c r="A70" s="16"/>
      <c r="D70"/>
      <c r="E70" s="16"/>
    </row>
    <row r="71" spans="2:4" ht="12.75">
      <c r="B71" s="24" t="s">
        <v>44</v>
      </c>
      <c r="C71" s="24"/>
      <c r="D71" s="16">
        <v>629698</v>
      </c>
    </row>
    <row r="72" spans="2:4" ht="12.75">
      <c r="B72" s="24" t="s">
        <v>45</v>
      </c>
      <c r="C72" s="24"/>
      <c r="D72" s="16">
        <v>229125</v>
      </c>
    </row>
    <row r="73" spans="2:4" ht="12.75">
      <c r="B73" s="16" t="s">
        <v>46</v>
      </c>
      <c r="D73" s="16">
        <v>286274</v>
      </c>
    </row>
    <row r="74" ht="12.75">
      <c r="D74" s="16" t="s">
        <v>39</v>
      </c>
    </row>
    <row r="76" ht="12.75">
      <c r="A76" s="24" t="s">
        <v>40</v>
      </c>
    </row>
  </sheetData>
  <sheetProtection/>
  <mergeCells count="11">
    <mergeCell ref="A1:L1"/>
    <mergeCell ref="A2:L2"/>
    <mergeCell ref="A3:L3"/>
    <mergeCell ref="A4:L4"/>
    <mergeCell ref="A5:L5"/>
    <mergeCell ref="A67:L67"/>
    <mergeCell ref="A69:L69"/>
    <mergeCell ref="A31:L31"/>
    <mergeCell ref="A57:L57"/>
    <mergeCell ref="H10:L10"/>
    <mergeCell ref="A8:L8"/>
  </mergeCells>
  <hyperlinks>
    <hyperlink ref="A4" r:id="rId1" display="www.batavia-downs.com"/>
  </hyperlinks>
  <printOptions horizontalCentered="1"/>
  <pageMargins left="0.25" right="0.25" top="0.5" bottom="0.5" header="0.5" footer="0.5"/>
  <pageSetup fitToHeight="1" fitToWidth="1" horizontalDpi="600" verticalDpi="600" orientation="portrait" scale="75" r:id="rId3"/>
  <drawing r:id="rId2"/>
</worksheet>
</file>

<file path=xl/worksheets/sheet17.xml><?xml version="1.0" encoding="utf-8"?>
<worksheet xmlns="http://schemas.openxmlformats.org/spreadsheetml/2006/main" xmlns:r="http://schemas.openxmlformats.org/officeDocument/2006/relationships">
  <sheetPr>
    <pageSetUpPr fitToPage="1"/>
  </sheetPr>
  <dimension ref="A1:L71"/>
  <sheetViews>
    <sheetView zoomScalePageLayoutView="0" workbookViewId="0" topLeftCell="A1">
      <selection activeCell="B28" sqref="B28"/>
    </sheetView>
  </sheetViews>
  <sheetFormatPr defaultColWidth="9.140625" defaultRowHeight="12.75"/>
  <cols>
    <col min="1" max="1" width="9.28125" style="3" customWidth="1"/>
    <col min="2" max="3" width="14.140625" style="16" customWidth="1"/>
    <col min="4" max="4" width="12.7109375" style="16" customWidth="1"/>
    <col min="5" max="5" width="8.8515625" style="17" customWidth="1"/>
    <col min="6" max="6" width="10.28125" style="16" customWidth="1"/>
    <col min="7" max="7" width="1.421875" style="16" customWidth="1"/>
    <col min="8" max="8" width="12.28125" style="16" customWidth="1"/>
    <col min="9" max="9" width="15.421875" style="16" customWidth="1"/>
    <col min="10" max="10" width="16.00390625" style="16" customWidth="1"/>
    <col min="11" max="11" width="15.7109375" style="16" customWidth="1"/>
    <col min="12" max="12" width="12.7109375" style="0" customWidth="1"/>
  </cols>
  <sheetData>
    <row r="1" spans="1:11" ht="18">
      <c r="A1" s="136" t="s">
        <v>60</v>
      </c>
      <c r="B1" s="136"/>
      <c r="C1" s="136"/>
      <c r="D1" s="136"/>
      <c r="E1" s="136"/>
      <c r="F1" s="136"/>
      <c r="G1" s="136"/>
      <c r="H1" s="136"/>
      <c r="I1" s="136"/>
      <c r="J1" s="136"/>
      <c r="K1" s="136"/>
    </row>
    <row r="2" spans="1:11" ht="15">
      <c r="A2" s="137" t="s">
        <v>0</v>
      </c>
      <c r="B2" s="137"/>
      <c r="C2" s="137"/>
      <c r="D2" s="137"/>
      <c r="E2" s="137"/>
      <c r="F2" s="137"/>
      <c r="G2" s="137"/>
      <c r="H2" s="137"/>
      <c r="I2" s="137"/>
      <c r="J2" s="137"/>
      <c r="K2" s="137"/>
    </row>
    <row r="3" spans="1:11" s="1" customFormat="1" ht="15">
      <c r="A3" s="137" t="s">
        <v>1</v>
      </c>
      <c r="B3" s="137"/>
      <c r="C3" s="137"/>
      <c r="D3" s="137"/>
      <c r="E3" s="137"/>
      <c r="F3" s="137"/>
      <c r="G3" s="137"/>
      <c r="H3" s="137"/>
      <c r="I3" s="137"/>
      <c r="J3" s="137"/>
      <c r="K3" s="137"/>
    </row>
    <row r="4" spans="1:11" s="1" customFormat="1" ht="14.25">
      <c r="A4" s="124" t="s">
        <v>2</v>
      </c>
      <c r="B4" s="124"/>
      <c r="C4" s="124"/>
      <c r="D4" s="124"/>
      <c r="E4" s="124"/>
      <c r="F4" s="124"/>
      <c r="G4" s="124"/>
      <c r="H4" s="124"/>
      <c r="I4" s="124"/>
      <c r="J4" s="124"/>
      <c r="K4" s="124"/>
    </row>
    <row r="5" spans="1:11" s="1" customFormat="1" ht="14.25">
      <c r="A5" s="138" t="s">
        <v>3</v>
      </c>
      <c r="B5" s="138"/>
      <c r="C5" s="138"/>
      <c r="D5" s="138"/>
      <c r="E5" s="138"/>
      <c r="F5" s="138"/>
      <c r="G5" s="138"/>
      <c r="H5" s="138"/>
      <c r="I5" s="138"/>
      <c r="J5" s="138"/>
      <c r="K5" s="138"/>
    </row>
    <row r="6" spans="1:11" s="1" customFormat="1" ht="14.25">
      <c r="A6" s="2"/>
      <c r="B6" s="2"/>
      <c r="C6" s="2"/>
      <c r="D6" s="2"/>
      <c r="E6" s="2"/>
      <c r="F6" s="2"/>
      <c r="G6" s="2"/>
      <c r="H6" s="2"/>
      <c r="I6" s="2"/>
      <c r="J6" s="2"/>
      <c r="K6" s="2"/>
    </row>
    <row r="7" spans="1:11" s="1" customFormat="1" ht="12.75">
      <c r="A7" s="3"/>
      <c r="B7" s="4"/>
      <c r="C7" s="4"/>
      <c r="D7" s="5"/>
      <c r="E7" s="6"/>
      <c r="F7" s="5"/>
      <c r="G7" s="5"/>
      <c r="H7" s="5"/>
      <c r="I7" s="5"/>
      <c r="J7" s="5"/>
      <c r="K7" s="5"/>
    </row>
    <row r="8" spans="1:11" s="7" customFormat="1" ht="14.25" customHeight="1">
      <c r="A8" s="129" t="s">
        <v>42</v>
      </c>
      <c r="B8" s="130"/>
      <c r="C8" s="130"/>
      <c r="D8" s="130"/>
      <c r="E8" s="130"/>
      <c r="F8" s="130"/>
      <c r="G8" s="130"/>
      <c r="H8" s="130"/>
      <c r="I8" s="130"/>
      <c r="J8" s="130"/>
      <c r="K8" s="131"/>
    </row>
    <row r="9" spans="1:11" s="1" customFormat="1" ht="9" customHeight="1">
      <c r="A9" s="3"/>
      <c r="B9" s="4"/>
      <c r="C9" s="4"/>
      <c r="D9" s="5"/>
      <c r="E9" s="6"/>
      <c r="F9" s="5"/>
      <c r="G9" s="5"/>
      <c r="H9" s="5"/>
      <c r="I9" s="5"/>
      <c r="J9" s="5"/>
      <c r="K9" s="5"/>
    </row>
    <row r="10" spans="1:11" s="1" customFormat="1" ht="12.75">
      <c r="A10" s="3"/>
      <c r="B10" s="5"/>
      <c r="C10" s="5"/>
      <c r="D10" s="5"/>
      <c r="E10" s="6"/>
      <c r="F10" s="5"/>
      <c r="G10" s="5"/>
      <c r="H10" s="128" t="s">
        <v>5</v>
      </c>
      <c r="I10" s="128"/>
      <c r="J10" s="128"/>
      <c r="K10" s="128"/>
    </row>
    <row r="11" spans="1:11" s="1" customFormat="1" ht="7.5" customHeight="1">
      <c r="A11" s="3"/>
      <c r="B11" s="5"/>
      <c r="C11" s="5"/>
      <c r="D11" s="5"/>
      <c r="E11" s="6"/>
      <c r="F11" s="5"/>
      <c r="G11" s="5"/>
      <c r="H11" s="5"/>
      <c r="I11" s="5"/>
      <c r="J11" s="5"/>
      <c r="K11" s="5"/>
    </row>
    <row r="12" spans="1:11" s="12" customFormat="1" ht="12">
      <c r="A12" s="9"/>
      <c r="B12" s="10" t="s">
        <v>6</v>
      </c>
      <c r="C12" s="10" t="s">
        <v>6</v>
      </c>
      <c r="D12" s="10"/>
      <c r="E12" s="11" t="s">
        <v>7</v>
      </c>
      <c r="F12" s="10" t="s">
        <v>8</v>
      </c>
      <c r="G12" s="10"/>
      <c r="H12" s="10" t="s">
        <v>9</v>
      </c>
      <c r="I12" s="10" t="s">
        <v>83</v>
      </c>
      <c r="J12" s="10" t="s">
        <v>10</v>
      </c>
      <c r="K12" s="10" t="s">
        <v>84</v>
      </c>
    </row>
    <row r="13" spans="1:11" s="12" customFormat="1" ht="12">
      <c r="A13" s="13" t="s">
        <v>11</v>
      </c>
      <c r="B13" s="8" t="s">
        <v>12</v>
      </c>
      <c r="C13" s="8" t="s">
        <v>13</v>
      </c>
      <c r="D13" s="8" t="s">
        <v>14</v>
      </c>
      <c r="E13" s="14" t="s">
        <v>15</v>
      </c>
      <c r="F13" s="8" t="s">
        <v>16</v>
      </c>
      <c r="G13" s="15"/>
      <c r="H13" s="8" t="s">
        <v>17</v>
      </c>
      <c r="I13" s="8" t="s">
        <v>18</v>
      </c>
      <c r="J13" s="8" t="s">
        <v>19</v>
      </c>
      <c r="K13" s="8" t="s">
        <v>85</v>
      </c>
    </row>
    <row r="15" spans="1:11" ht="12.75">
      <c r="A15" s="3">
        <v>39173</v>
      </c>
      <c r="B15" s="16">
        <v>27525686.029999994</v>
      </c>
      <c r="C15" s="16">
        <f aca="true" t="shared" si="0" ref="C15:C20">B15-D15</f>
        <v>25150042.559999995</v>
      </c>
      <c r="D15" s="16">
        <v>2375643.47</v>
      </c>
      <c r="E15" s="17">
        <f>17730/30</f>
        <v>591</v>
      </c>
      <c r="F15" s="16">
        <v>133.99004342921597</v>
      </c>
      <c r="H15" s="16">
        <v>1187821.81</v>
      </c>
      <c r="I15" s="16">
        <v>760205.92</v>
      </c>
      <c r="J15" s="16">
        <v>190051.48</v>
      </c>
      <c r="K15" s="16">
        <f aca="true" t="shared" si="1" ref="K15:K24">D15*0.1</f>
        <v>237564.34700000004</v>
      </c>
    </row>
    <row r="16" spans="1:11" ht="12.75">
      <c r="A16" s="3">
        <v>39203</v>
      </c>
      <c r="B16" s="16">
        <v>27633313.480000004</v>
      </c>
      <c r="C16" s="16">
        <f t="shared" si="0"/>
        <v>25388221.020000003</v>
      </c>
      <c r="D16" s="16">
        <v>2245092.46</v>
      </c>
      <c r="E16" s="17">
        <f>18321/31</f>
        <v>591</v>
      </c>
      <c r="F16" s="16">
        <v>122.54202609027888</v>
      </c>
      <c r="H16" s="16">
        <v>1122546.3</v>
      </c>
      <c r="I16" s="16">
        <v>718429.59</v>
      </c>
      <c r="J16" s="16">
        <v>179607.39</v>
      </c>
      <c r="K16" s="16">
        <f t="shared" si="1"/>
        <v>224509.246</v>
      </c>
    </row>
    <row r="17" spans="1:11" ht="12.75">
      <c r="A17" s="3">
        <v>39234</v>
      </c>
      <c r="B17" s="16">
        <v>29045518.860000003</v>
      </c>
      <c r="C17" s="16">
        <f t="shared" si="0"/>
        <v>26663149.300000004</v>
      </c>
      <c r="D17" s="16">
        <v>2382369.56</v>
      </c>
      <c r="E17" s="17">
        <f>17730/30</f>
        <v>591</v>
      </c>
      <c r="F17" s="16">
        <v>134.36940552735476</v>
      </c>
      <c r="H17" s="16">
        <v>1191184.88</v>
      </c>
      <c r="I17" s="16">
        <v>762358.25</v>
      </c>
      <c r="J17" s="16">
        <v>190589.59</v>
      </c>
      <c r="K17" s="16">
        <f t="shared" si="1"/>
        <v>238236.956</v>
      </c>
    </row>
    <row r="18" spans="1:11" ht="12.75">
      <c r="A18" s="3">
        <v>39264</v>
      </c>
      <c r="B18" s="16">
        <v>33249043.72</v>
      </c>
      <c r="C18" s="16">
        <f t="shared" si="0"/>
        <v>30394148.58</v>
      </c>
      <c r="D18" s="16">
        <v>2854895.14</v>
      </c>
      <c r="E18" s="17">
        <f>18321/31</f>
        <v>591</v>
      </c>
      <c r="F18" s="16">
        <v>155.82638174772123</v>
      </c>
      <c r="H18" s="16">
        <v>1427447.62</v>
      </c>
      <c r="I18" s="16">
        <v>913566.44</v>
      </c>
      <c r="J18" s="16">
        <v>228391.61</v>
      </c>
      <c r="K18" s="16">
        <f t="shared" si="1"/>
        <v>285489.514</v>
      </c>
    </row>
    <row r="19" spans="1:11" ht="12.75">
      <c r="A19" s="3">
        <v>39295</v>
      </c>
      <c r="B19" s="16">
        <v>35462075.129999995</v>
      </c>
      <c r="C19" s="16">
        <f t="shared" si="0"/>
        <v>32448222.409999996</v>
      </c>
      <c r="D19" s="16">
        <v>3013852.72</v>
      </c>
      <c r="E19" s="17">
        <f>18321/31</f>
        <v>591</v>
      </c>
      <c r="F19" s="16">
        <v>164.5026319524043</v>
      </c>
      <c r="H19" s="16">
        <v>1506926.45</v>
      </c>
      <c r="I19" s="16">
        <v>964432.84</v>
      </c>
      <c r="J19" s="16">
        <v>241108.24</v>
      </c>
      <c r="K19" s="16">
        <f t="shared" si="1"/>
        <v>301385.27200000006</v>
      </c>
    </row>
    <row r="20" spans="1:11" ht="12.75">
      <c r="A20" s="3">
        <v>39326</v>
      </c>
      <c r="B20" s="16">
        <v>32093801.44</v>
      </c>
      <c r="C20" s="16">
        <f t="shared" si="0"/>
        <v>29389916.470000003</v>
      </c>
      <c r="D20" s="16">
        <v>2703884.97</v>
      </c>
      <c r="E20" s="17">
        <f>17730/30</f>
        <v>591</v>
      </c>
      <c r="F20" s="16">
        <f>D20/E20/30</f>
        <v>152.5033824027073</v>
      </c>
      <c r="H20" s="16">
        <f aca="true" t="shared" si="2" ref="H20:H26">D20*0.5</f>
        <v>1351942.485</v>
      </c>
      <c r="I20" s="16">
        <f aca="true" t="shared" si="3" ref="I20:I26">D20*0.32</f>
        <v>865243.1904000001</v>
      </c>
      <c r="J20" s="16">
        <f aca="true" t="shared" si="4" ref="J20:J26">D20*0.08</f>
        <v>216310.79760000002</v>
      </c>
      <c r="K20" s="16">
        <f t="shared" si="1"/>
        <v>270388.49700000003</v>
      </c>
    </row>
    <row r="21" spans="1:11" ht="12.75">
      <c r="A21" s="3">
        <v>39356</v>
      </c>
      <c r="B21" s="16">
        <v>30139693.03</v>
      </c>
      <c r="C21" s="16">
        <f aca="true" t="shared" si="5" ref="C21:C26">B21-D21</f>
        <v>27660205.03</v>
      </c>
      <c r="D21" s="16">
        <v>2479488</v>
      </c>
      <c r="E21" s="17">
        <f>18321/31</f>
        <v>591</v>
      </c>
      <c r="F21" s="16">
        <f>D21/E21/31</f>
        <v>135.3358441133126</v>
      </c>
      <c r="H21" s="16">
        <f t="shared" si="2"/>
        <v>1239744</v>
      </c>
      <c r="I21" s="16">
        <f t="shared" si="3"/>
        <v>793436.16</v>
      </c>
      <c r="J21" s="16">
        <f t="shared" si="4"/>
        <v>198359.04</v>
      </c>
      <c r="K21" s="16">
        <f t="shared" si="1"/>
        <v>247948.80000000002</v>
      </c>
    </row>
    <row r="22" spans="1:11" ht="12.75">
      <c r="A22" s="3">
        <v>39387</v>
      </c>
      <c r="B22" s="16">
        <v>25841369.11</v>
      </c>
      <c r="C22" s="16">
        <f t="shared" si="5"/>
        <v>23578922.97</v>
      </c>
      <c r="D22" s="16">
        <v>2262446.14</v>
      </c>
      <c r="E22" s="17">
        <f>17730/30</f>
        <v>591</v>
      </c>
      <c r="F22" s="16">
        <f>D22/E22/30</f>
        <v>127.60553525098703</v>
      </c>
      <c r="H22" s="16">
        <f t="shared" si="2"/>
        <v>1131223.07</v>
      </c>
      <c r="I22" s="16">
        <f t="shared" si="3"/>
        <v>723982.7648</v>
      </c>
      <c r="J22" s="16">
        <f t="shared" si="4"/>
        <v>180995.6912</v>
      </c>
      <c r="K22" s="16">
        <f t="shared" si="1"/>
        <v>226244.61400000003</v>
      </c>
    </row>
    <row r="23" spans="1:11" ht="12.75">
      <c r="A23" s="3">
        <v>39417</v>
      </c>
      <c r="B23" s="16">
        <v>23188363.83</v>
      </c>
      <c r="C23" s="16">
        <f t="shared" si="5"/>
        <v>21178560.56</v>
      </c>
      <c r="D23" s="16">
        <v>2009803.27</v>
      </c>
      <c r="E23" s="17">
        <f>18343/31</f>
        <v>591.7096774193549</v>
      </c>
      <c r="F23" s="16">
        <f>D23/E23/31</f>
        <v>109.56786076432427</v>
      </c>
      <c r="H23" s="16">
        <f t="shared" si="2"/>
        <v>1004901.635</v>
      </c>
      <c r="I23" s="16">
        <f t="shared" si="3"/>
        <v>643137.0464</v>
      </c>
      <c r="J23" s="16">
        <f t="shared" si="4"/>
        <v>160784.2616</v>
      </c>
      <c r="K23" s="16">
        <f t="shared" si="1"/>
        <v>200980.32700000002</v>
      </c>
    </row>
    <row r="24" spans="1:11" ht="12.75">
      <c r="A24" s="3">
        <v>39448</v>
      </c>
      <c r="B24" s="16">
        <v>25563120.37</v>
      </c>
      <c r="C24" s="16">
        <f t="shared" si="5"/>
        <v>23321944.18</v>
      </c>
      <c r="D24" s="16">
        <v>2241176.19</v>
      </c>
      <c r="E24" s="17">
        <v>592</v>
      </c>
      <c r="F24" s="16">
        <f>D24/E24/31</f>
        <v>122.12163197471665</v>
      </c>
      <c r="H24" s="16">
        <f t="shared" si="2"/>
        <v>1120588.095</v>
      </c>
      <c r="I24" s="16">
        <f t="shared" si="3"/>
        <v>717176.3808</v>
      </c>
      <c r="J24" s="16">
        <f t="shared" si="4"/>
        <v>179294.0952</v>
      </c>
      <c r="K24" s="16">
        <f t="shared" si="1"/>
        <v>224117.619</v>
      </c>
    </row>
    <row r="25" spans="1:11" ht="12.75">
      <c r="A25" s="3">
        <v>39479</v>
      </c>
      <c r="B25" s="16">
        <v>25844435.32</v>
      </c>
      <c r="C25" s="16">
        <f t="shared" si="5"/>
        <v>23636052.85</v>
      </c>
      <c r="D25" s="16">
        <v>2208382.47</v>
      </c>
      <c r="E25" s="17">
        <v>592</v>
      </c>
      <c r="F25" s="16">
        <f>D25/E25/29</f>
        <v>128.63364806616963</v>
      </c>
      <c r="H25" s="16">
        <f t="shared" si="2"/>
        <v>1104191.235</v>
      </c>
      <c r="I25" s="16">
        <f t="shared" si="3"/>
        <v>706682.3904</v>
      </c>
      <c r="J25" s="16">
        <f t="shared" si="4"/>
        <v>176670.5976</v>
      </c>
      <c r="K25" s="16">
        <f>D25*0.1</f>
        <v>220838.24700000003</v>
      </c>
    </row>
    <row r="26" spans="1:11" ht="12.75">
      <c r="A26" s="3">
        <v>39508</v>
      </c>
      <c r="B26" s="16">
        <v>30744043.65</v>
      </c>
      <c r="C26" s="16">
        <f t="shared" si="5"/>
        <v>28010174.119999997</v>
      </c>
      <c r="D26" s="16">
        <v>2733869.53</v>
      </c>
      <c r="E26" s="17">
        <v>592</v>
      </c>
      <c r="F26" s="16">
        <f>D26/E26/31</f>
        <v>148.96847918483</v>
      </c>
      <c r="H26" s="16">
        <f t="shared" si="2"/>
        <v>1366934.765</v>
      </c>
      <c r="I26" s="16">
        <f t="shared" si="3"/>
        <v>874838.2496</v>
      </c>
      <c r="J26" s="16">
        <f t="shared" si="4"/>
        <v>218709.5624</v>
      </c>
      <c r="K26" s="16">
        <f>D26*0.1</f>
        <v>273386.953</v>
      </c>
    </row>
    <row r="27" spans="1:11" ht="13.5" thickBot="1">
      <c r="A27" s="3" t="s">
        <v>20</v>
      </c>
      <c r="B27" s="18">
        <f>SUM(B15:B26)</f>
        <v>346330463.96999997</v>
      </c>
      <c r="C27" s="18">
        <f>SUM(C15:C26)</f>
        <v>316819560.05</v>
      </c>
      <c r="D27" s="18">
        <f>SUM(D15:D26)</f>
        <v>29510903.92</v>
      </c>
      <c r="H27" s="18">
        <f>SUM(H15:H26)</f>
        <v>14755452.345000003</v>
      </c>
      <c r="I27" s="18">
        <f>SUM(I15:I26)</f>
        <v>9443489.222400002</v>
      </c>
      <c r="J27" s="18">
        <f>SUM(J15:J26)</f>
        <v>2360872.3556000004</v>
      </c>
      <c r="K27" s="18">
        <f>SUM(K15:K26)</f>
        <v>2951090.392</v>
      </c>
    </row>
    <row r="28" spans="2:11" ht="10.5" customHeight="1" thickTop="1">
      <c r="B28" s="19"/>
      <c r="C28" s="19"/>
      <c r="D28" s="19"/>
      <c r="H28" s="19"/>
      <c r="I28" s="19"/>
      <c r="J28" s="19"/>
      <c r="K28" s="19"/>
    </row>
    <row r="29" spans="1:11" s="22" customFormat="1" ht="12.75">
      <c r="A29" s="20"/>
      <c r="B29" s="21"/>
      <c r="C29" s="21">
        <f>C27/B27</f>
        <v>0.9147897543239042</v>
      </c>
      <c r="D29" s="21">
        <f>D27/B27</f>
        <v>0.08521024567609597</v>
      </c>
      <c r="H29" s="21">
        <f>H27/$D$27</f>
        <v>0.5000000130460254</v>
      </c>
      <c r="I29" s="21">
        <f>I27/$D$27</f>
        <v>0.3199999989156551</v>
      </c>
      <c r="J29" s="21">
        <f>J27/$D$27</f>
        <v>0.08000000142320277</v>
      </c>
      <c r="K29" s="21">
        <f>K27/$D$27</f>
        <v>0.09999999999999999</v>
      </c>
    </row>
    <row r="31" spans="1:11" s="23" customFormat="1" ht="12.75">
      <c r="A31" s="129" t="s">
        <v>21</v>
      </c>
      <c r="B31" s="130"/>
      <c r="C31" s="130"/>
      <c r="D31" s="130"/>
      <c r="E31" s="130"/>
      <c r="F31" s="130"/>
      <c r="G31" s="130"/>
      <c r="H31" s="130"/>
      <c r="I31" s="130"/>
      <c r="J31" s="130"/>
      <c r="K31" s="131"/>
    </row>
    <row r="32" ht="12.75">
      <c r="A32" s="24"/>
    </row>
    <row r="33" spans="1:12" s="49" customFormat="1" ht="12.75" customHeight="1">
      <c r="A33" s="45" t="s">
        <v>22</v>
      </c>
      <c r="B33" s="46"/>
      <c r="C33" s="57" t="s">
        <v>94</v>
      </c>
      <c r="D33" s="58"/>
      <c r="E33" s="58"/>
      <c r="F33" s="58"/>
      <c r="G33" s="58"/>
      <c r="H33" s="58"/>
      <c r="I33" s="58"/>
      <c r="J33" s="58"/>
      <c r="K33" s="58"/>
      <c r="L33" s="58"/>
    </row>
    <row r="34" spans="1:12" s="49" customFormat="1" ht="12.75" customHeight="1">
      <c r="A34" s="45"/>
      <c r="B34" s="46"/>
      <c r="C34" s="57" t="s">
        <v>95</v>
      </c>
      <c r="D34" s="58"/>
      <c r="E34" s="58"/>
      <c r="F34" s="58"/>
      <c r="G34" s="58"/>
      <c r="H34" s="58"/>
      <c r="I34" s="58"/>
      <c r="J34" s="58"/>
      <c r="K34" s="58"/>
      <c r="L34" s="58"/>
    </row>
    <row r="35" spans="1:11" ht="6" customHeight="1">
      <c r="A35" s="25"/>
      <c r="B35" s="26"/>
      <c r="C35" s="26"/>
      <c r="E35" s="26"/>
      <c r="F35" s="26"/>
      <c r="G35" s="26"/>
      <c r="H35" s="26"/>
      <c r="I35" s="26"/>
      <c r="J35" s="26"/>
      <c r="K35" s="26"/>
    </row>
    <row r="36" spans="1:11" ht="12.75">
      <c r="A36" s="25" t="s">
        <v>23</v>
      </c>
      <c r="B36" s="26"/>
      <c r="C36" s="26" t="s">
        <v>24</v>
      </c>
      <c r="E36" s="26"/>
      <c r="F36" s="26"/>
      <c r="G36" s="26"/>
      <c r="H36" s="26"/>
      <c r="I36" s="26"/>
      <c r="J36" s="26"/>
      <c r="K36" s="26"/>
    </row>
    <row r="37" spans="1:11" ht="6" customHeight="1">
      <c r="A37" s="25"/>
      <c r="B37" s="26"/>
      <c r="C37" s="26"/>
      <c r="E37" s="26"/>
      <c r="F37" s="26"/>
      <c r="G37" s="26"/>
      <c r="H37" s="26"/>
      <c r="I37" s="26"/>
      <c r="J37" s="26"/>
      <c r="K37" s="26"/>
    </row>
    <row r="38" spans="1:11" ht="12.75">
      <c r="A38" s="25" t="s">
        <v>25</v>
      </c>
      <c r="B38" s="26"/>
      <c r="C38" s="26" t="s">
        <v>26</v>
      </c>
      <c r="E38" s="27"/>
      <c r="F38" s="26"/>
      <c r="G38" s="26"/>
      <c r="H38" s="26"/>
      <c r="I38" s="26"/>
      <c r="J38" s="26"/>
      <c r="K38" s="26"/>
    </row>
    <row r="39" spans="1:11" ht="12.75">
      <c r="A39" s="25"/>
      <c r="B39" s="26"/>
      <c r="C39" s="26" t="s">
        <v>27</v>
      </c>
      <c r="E39" s="27"/>
      <c r="F39" s="26"/>
      <c r="G39" s="26"/>
      <c r="H39" s="26"/>
      <c r="I39" s="26"/>
      <c r="J39" s="26"/>
      <c r="K39" s="26"/>
    </row>
    <row r="40" spans="1:11" ht="6" customHeight="1">
      <c r="A40" s="25"/>
      <c r="B40" s="26"/>
      <c r="C40" s="26"/>
      <c r="E40" s="27"/>
      <c r="F40" s="26"/>
      <c r="G40" s="26"/>
      <c r="H40" s="26"/>
      <c r="I40" s="26"/>
      <c r="J40" s="26"/>
      <c r="K40" s="26"/>
    </row>
    <row r="41" spans="1:11" ht="12.75">
      <c r="A41" s="25" t="s">
        <v>28</v>
      </c>
      <c r="B41" s="26"/>
      <c r="C41" s="26" t="s">
        <v>29</v>
      </c>
      <c r="E41" s="27"/>
      <c r="F41" s="26"/>
      <c r="G41" s="26"/>
      <c r="H41" s="26"/>
      <c r="I41" s="26"/>
      <c r="J41" s="26"/>
      <c r="K41" s="26"/>
    </row>
    <row r="42" spans="1:11" ht="6" customHeight="1">
      <c r="A42" s="25"/>
      <c r="B42" s="26"/>
      <c r="C42" s="26"/>
      <c r="E42" s="27"/>
      <c r="F42" s="26"/>
      <c r="G42" s="26"/>
      <c r="H42" s="26"/>
      <c r="I42" s="26"/>
      <c r="J42" s="26"/>
      <c r="K42" s="26"/>
    </row>
    <row r="43" spans="1:12" s="49" customFormat="1" ht="12.75">
      <c r="A43" s="45" t="s">
        <v>74</v>
      </c>
      <c r="B43" s="46"/>
      <c r="C43" s="46" t="s">
        <v>75</v>
      </c>
      <c r="D43" s="47"/>
      <c r="E43" s="48"/>
      <c r="F43" s="46"/>
      <c r="G43" s="46"/>
      <c r="H43" s="46"/>
      <c r="I43" s="46"/>
      <c r="J43" s="46"/>
      <c r="K43" s="46"/>
      <c r="L43" s="46"/>
    </row>
    <row r="44" spans="1:12" s="49" customFormat="1" ht="12.75">
      <c r="A44" s="45"/>
      <c r="B44" s="46"/>
      <c r="C44" s="46" t="s">
        <v>81</v>
      </c>
      <c r="D44" s="47"/>
      <c r="E44" s="48"/>
      <c r="F44" s="46"/>
      <c r="G44" s="46"/>
      <c r="H44" s="46"/>
      <c r="I44" s="46"/>
      <c r="J44" s="46"/>
      <c r="K44" s="46"/>
      <c r="L44" s="46"/>
    </row>
    <row r="45" spans="1:12" s="49" customFormat="1" ht="12.75">
      <c r="A45" s="45"/>
      <c r="B45" s="46"/>
      <c r="C45" s="46" t="s">
        <v>82</v>
      </c>
      <c r="D45" s="47"/>
      <c r="E45" s="48"/>
      <c r="F45" s="46"/>
      <c r="G45" s="46"/>
      <c r="H45" s="46"/>
      <c r="I45" s="46"/>
      <c r="J45" s="46"/>
      <c r="K45" s="46"/>
      <c r="L45" s="46"/>
    </row>
    <row r="46" spans="1:11" ht="6" customHeight="1">
      <c r="A46" s="25"/>
      <c r="B46" s="26"/>
      <c r="C46" s="26"/>
      <c r="E46" s="27"/>
      <c r="F46" s="26"/>
      <c r="G46" s="26"/>
      <c r="H46" s="26"/>
      <c r="I46" s="26"/>
      <c r="J46" s="26"/>
      <c r="K46" s="26"/>
    </row>
    <row r="47" spans="1:12" s="49" customFormat="1" ht="12.75">
      <c r="A47" s="45" t="s">
        <v>30</v>
      </c>
      <c r="B47" s="46"/>
      <c r="C47" s="46" t="s">
        <v>76</v>
      </c>
      <c r="D47" s="47"/>
      <c r="E47" s="48"/>
      <c r="F47" s="46"/>
      <c r="G47" s="46"/>
      <c r="H47" s="46"/>
      <c r="I47" s="46"/>
      <c r="J47" s="46"/>
      <c r="K47" s="46"/>
      <c r="L47" s="46"/>
    </row>
    <row r="48" spans="1:12" s="49" customFormat="1" ht="12.75">
      <c r="A48" s="45"/>
      <c r="B48" s="46"/>
      <c r="C48" s="46" t="s">
        <v>77</v>
      </c>
      <c r="D48" s="47"/>
      <c r="E48" s="48"/>
      <c r="F48" s="46"/>
      <c r="G48" s="46"/>
      <c r="H48" s="46"/>
      <c r="I48" s="46"/>
      <c r="J48" s="46"/>
      <c r="K48" s="46"/>
      <c r="L48" s="46"/>
    </row>
    <row r="49" spans="1:11" ht="6" customHeight="1">
      <c r="A49" s="25"/>
      <c r="B49" s="26"/>
      <c r="C49" s="26"/>
      <c r="E49" s="27"/>
      <c r="F49" s="26"/>
      <c r="G49" s="26"/>
      <c r="H49" s="26"/>
      <c r="I49" s="26"/>
      <c r="J49" s="26"/>
      <c r="K49" s="26"/>
    </row>
    <row r="50" spans="1:12" s="49" customFormat="1" ht="12.75">
      <c r="A50" s="45" t="s">
        <v>86</v>
      </c>
      <c r="B50" s="46"/>
      <c r="C50" s="46" t="s">
        <v>79</v>
      </c>
      <c r="D50" s="47"/>
      <c r="E50" s="48"/>
      <c r="F50" s="46"/>
      <c r="G50" s="46"/>
      <c r="H50" s="46"/>
      <c r="I50" s="46"/>
      <c r="J50" s="46"/>
      <c r="K50" s="46"/>
      <c r="L50" s="46"/>
    </row>
    <row r="51" spans="1:12" s="49" customFormat="1" ht="12.75">
      <c r="A51" s="50"/>
      <c r="B51" s="46"/>
      <c r="C51" s="46" t="s">
        <v>80</v>
      </c>
      <c r="D51" s="47"/>
      <c r="E51" s="48"/>
      <c r="F51" s="46"/>
      <c r="G51" s="46"/>
      <c r="H51" s="46"/>
      <c r="I51" s="46"/>
      <c r="J51" s="46"/>
      <c r="K51" s="46"/>
      <c r="L51" s="46"/>
    </row>
    <row r="52" spans="1:11" ht="12.75">
      <c r="A52" s="29"/>
      <c r="B52" s="30"/>
      <c r="C52" s="30"/>
      <c r="D52" s="30"/>
      <c r="E52" s="31"/>
      <c r="F52" s="30"/>
      <c r="G52" s="30"/>
      <c r="H52" s="30"/>
      <c r="I52" s="30"/>
      <c r="J52" s="30"/>
      <c r="K52" s="30"/>
    </row>
    <row r="53" spans="1:11" s="23" customFormat="1" ht="12.75">
      <c r="A53" s="129" t="s">
        <v>31</v>
      </c>
      <c r="B53" s="130"/>
      <c r="C53" s="130"/>
      <c r="D53" s="130"/>
      <c r="E53" s="130"/>
      <c r="F53" s="130"/>
      <c r="G53" s="130"/>
      <c r="H53" s="130"/>
      <c r="I53" s="130"/>
      <c r="J53" s="130"/>
      <c r="K53" s="131"/>
    </row>
    <row r="54" ht="12.75">
      <c r="A54" s="24"/>
    </row>
    <row r="55" spans="1:11" ht="13.5">
      <c r="A55" s="32"/>
      <c r="F55" s="10" t="s">
        <v>9</v>
      </c>
      <c r="G55" s="33"/>
      <c r="H55" s="10" t="s">
        <v>83</v>
      </c>
      <c r="I55" s="10" t="s">
        <v>10</v>
      </c>
      <c r="J55" s="51" t="s">
        <v>84</v>
      </c>
      <c r="K55" s="34"/>
    </row>
    <row r="56" spans="1:11" ht="12.75">
      <c r="A56" s="35"/>
      <c r="F56" s="8" t="s">
        <v>17</v>
      </c>
      <c r="G56" s="36"/>
      <c r="H56" s="8" t="s">
        <v>18</v>
      </c>
      <c r="I56" s="8" t="s">
        <v>19</v>
      </c>
      <c r="J56" s="52" t="s">
        <v>85</v>
      </c>
      <c r="K56" s="34"/>
    </row>
    <row r="57" spans="2:11" ht="12.75">
      <c r="B57" s="39" t="s">
        <v>35</v>
      </c>
      <c r="C57" s="39"/>
      <c r="D57" s="26"/>
      <c r="E57" s="27"/>
      <c r="F57" s="40">
        <v>0.5</v>
      </c>
      <c r="G57" s="26"/>
      <c r="H57" s="40">
        <v>0.32</v>
      </c>
      <c r="I57" s="40">
        <v>0.08</v>
      </c>
      <c r="J57" s="40">
        <v>0.1</v>
      </c>
      <c r="K57" s="41"/>
    </row>
    <row r="58" spans="2:11" ht="12.75">
      <c r="B58" s="39" t="s">
        <v>36</v>
      </c>
      <c r="C58" s="39"/>
      <c r="D58" s="26"/>
      <c r="E58" s="27"/>
      <c r="F58" s="40">
        <v>0.53</v>
      </c>
      <c r="G58" s="26"/>
      <c r="H58" s="40">
        <v>0.29</v>
      </c>
      <c r="I58" s="40">
        <v>0.08</v>
      </c>
      <c r="J58" s="40">
        <v>0.1</v>
      </c>
      <c r="K58" s="41"/>
    </row>
    <row r="59" spans="2:11" ht="12.75">
      <c r="B59" s="39" t="s">
        <v>37</v>
      </c>
      <c r="C59" s="39"/>
      <c r="D59" s="26"/>
      <c r="E59" s="27"/>
      <c r="F59" s="40">
        <v>0.56</v>
      </c>
      <c r="G59" s="26"/>
      <c r="H59" s="40">
        <v>0.29</v>
      </c>
      <c r="I59" s="40">
        <v>0.05</v>
      </c>
      <c r="J59" s="40">
        <v>0.1</v>
      </c>
      <c r="K59" s="41"/>
    </row>
    <row r="60" spans="2:11" ht="12.75">
      <c r="B60" s="39" t="s">
        <v>38</v>
      </c>
      <c r="C60" s="39"/>
      <c r="D60" s="26"/>
      <c r="E60" s="27"/>
      <c r="F60" s="40">
        <v>0.59</v>
      </c>
      <c r="G60" s="26"/>
      <c r="H60" s="40">
        <v>0.26</v>
      </c>
      <c r="I60" s="40">
        <v>0.05</v>
      </c>
      <c r="J60" s="40">
        <v>0.1</v>
      </c>
      <c r="K60" s="41"/>
    </row>
    <row r="61" ht="12.75">
      <c r="A61" s="24"/>
    </row>
    <row r="62" spans="1:11" s="23" customFormat="1" ht="12.75">
      <c r="A62" s="132" t="s">
        <v>43</v>
      </c>
      <c r="B62" s="133"/>
      <c r="C62" s="133"/>
      <c r="D62" s="133"/>
      <c r="E62" s="133"/>
      <c r="F62" s="133"/>
      <c r="G62" s="133"/>
      <c r="H62" s="133"/>
      <c r="I62" s="133"/>
      <c r="J62" s="133"/>
      <c r="K62" s="134"/>
    </row>
    <row r="63" spans="1:5" ht="12.75">
      <c r="A63" s="24"/>
      <c r="D63"/>
      <c r="E63" s="16"/>
    </row>
    <row r="64" spans="1:11" ht="51.75" customHeight="1">
      <c r="A64" s="135" t="s">
        <v>47</v>
      </c>
      <c r="B64" s="135"/>
      <c r="C64" s="135"/>
      <c r="D64" s="135"/>
      <c r="E64" s="135"/>
      <c r="F64" s="135"/>
      <c r="G64" s="135"/>
      <c r="H64" s="135"/>
      <c r="I64" s="135"/>
      <c r="J64" s="135"/>
      <c r="K64" s="135"/>
    </row>
    <row r="65" spans="1:5" ht="12.75">
      <c r="A65" s="16"/>
      <c r="D65"/>
      <c r="E65" s="16"/>
    </row>
    <row r="66" spans="2:4" ht="12.75">
      <c r="B66" s="24" t="s">
        <v>44</v>
      </c>
      <c r="C66" s="24"/>
      <c r="D66" s="16">
        <v>493942</v>
      </c>
    </row>
    <row r="67" spans="2:4" ht="12.75">
      <c r="B67" s="24" t="s">
        <v>45</v>
      </c>
      <c r="C67" s="24"/>
      <c r="D67" s="16">
        <v>179728</v>
      </c>
    </row>
    <row r="68" spans="2:4" ht="12.75">
      <c r="B68" s="16" t="s">
        <v>46</v>
      </c>
      <c r="D68" s="16">
        <v>224557</v>
      </c>
    </row>
    <row r="69" ht="12.75">
      <c r="D69" s="16" t="s">
        <v>39</v>
      </c>
    </row>
    <row r="71" ht="12.75">
      <c r="A71" s="24" t="s">
        <v>40</v>
      </c>
    </row>
  </sheetData>
  <sheetProtection/>
  <mergeCells count="11">
    <mergeCell ref="A62:K62"/>
    <mergeCell ref="A64:K64"/>
    <mergeCell ref="A31:K31"/>
    <mergeCell ref="A53:K53"/>
    <mergeCell ref="H10:K10"/>
    <mergeCell ref="A8:K8"/>
    <mergeCell ref="A1:K1"/>
    <mergeCell ref="A2:K2"/>
    <mergeCell ref="A3:K3"/>
    <mergeCell ref="A4:K4"/>
    <mergeCell ref="A5:K5"/>
  </mergeCells>
  <hyperlinks>
    <hyperlink ref="A4" r:id="rId1" display="www.batavia-downs.com"/>
  </hyperlinks>
  <printOptions horizontalCentered="1"/>
  <pageMargins left="0.25" right="0.25" top="0.5" bottom="0.5" header="0.5" footer="0.5"/>
  <pageSetup fitToHeight="1" fitToWidth="1" horizontalDpi="600" verticalDpi="600" orientation="portrait" scale="79" r:id="rId3"/>
  <drawing r:id="rId2"/>
</worksheet>
</file>

<file path=xl/worksheets/sheet18.xml><?xml version="1.0" encoding="utf-8"?>
<worksheet xmlns="http://schemas.openxmlformats.org/spreadsheetml/2006/main" xmlns:r="http://schemas.openxmlformats.org/officeDocument/2006/relationships">
  <sheetPr>
    <pageSetUpPr fitToPage="1"/>
  </sheetPr>
  <dimension ref="A1:L64"/>
  <sheetViews>
    <sheetView zoomScalePageLayoutView="0" workbookViewId="0" topLeftCell="A1">
      <selection activeCell="B28" sqref="B28"/>
    </sheetView>
  </sheetViews>
  <sheetFormatPr defaultColWidth="9.140625" defaultRowHeight="12.75"/>
  <cols>
    <col min="1" max="1" width="9.28125" style="3" customWidth="1"/>
    <col min="2" max="3" width="14.140625" style="16" customWidth="1"/>
    <col min="4" max="4" width="12.7109375" style="16" customWidth="1"/>
    <col min="5" max="5" width="8.8515625" style="17" customWidth="1"/>
    <col min="6" max="6" width="10.28125" style="16" customWidth="1"/>
    <col min="7" max="7" width="1.421875" style="16" customWidth="1"/>
    <col min="8" max="8" width="12.28125" style="16" customWidth="1"/>
    <col min="9" max="9" width="15.57421875" style="16" customWidth="1"/>
    <col min="10" max="10" width="15.00390625" style="16" customWidth="1"/>
    <col min="11" max="11" width="15.7109375" style="16" customWidth="1"/>
    <col min="12" max="12" width="12.7109375" style="0" customWidth="1"/>
  </cols>
  <sheetData>
    <row r="1" spans="1:11" ht="18">
      <c r="A1" s="136" t="s">
        <v>60</v>
      </c>
      <c r="B1" s="136"/>
      <c r="C1" s="136"/>
      <c r="D1" s="136"/>
      <c r="E1" s="136"/>
      <c r="F1" s="136"/>
      <c r="G1" s="136"/>
      <c r="H1" s="136"/>
      <c r="I1" s="136"/>
      <c r="J1" s="136"/>
      <c r="K1" s="136"/>
    </row>
    <row r="2" spans="1:11" ht="15">
      <c r="A2" s="137" t="s">
        <v>0</v>
      </c>
      <c r="B2" s="137"/>
      <c r="C2" s="137"/>
      <c r="D2" s="137"/>
      <c r="E2" s="137"/>
      <c r="F2" s="137"/>
      <c r="G2" s="137"/>
      <c r="H2" s="137"/>
      <c r="I2" s="137"/>
      <c r="J2" s="137"/>
      <c r="K2" s="137"/>
    </row>
    <row r="3" spans="1:11" s="1" customFormat="1" ht="15">
      <c r="A3" s="137" t="s">
        <v>1</v>
      </c>
      <c r="B3" s="137"/>
      <c r="C3" s="137"/>
      <c r="D3" s="137"/>
      <c r="E3" s="137"/>
      <c r="F3" s="137"/>
      <c r="G3" s="137"/>
      <c r="H3" s="137"/>
      <c r="I3" s="137"/>
      <c r="J3" s="137"/>
      <c r="K3" s="137"/>
    </row>
    <row r="4" spans="1:11" s="1" customFormat="1" ht="14.25">
      <c r="A4" s="124" t="s">
        <v>2</v>
      </c>
      <c r="B4" s="124"/>
      <c r="C4" s="124"/>
      <c r="D4" s="124"/>
      <c r="E4" s="124"/>
      <c r="F4" s="124"/>
      <c r="G4" s="124"/>
      <c r="H4" s="124"/>
      <c r="I4" s="124"/>
      <c r="J4" s="124"/>
      <c r="K4" s="124"/>
    </row>
    <row r="5" spans="1:11" s="1" customFormat="1" ht="14.25">
      <c r="A5" s="138" t="s">
        <v>3</v>
      </c>
      <c r="B5" s="138"/>
      <c r="C5" s="138"/>
      <c r="D5" s="138"/>
      <c r="E5" s="138"/>
      <c r="F5" s="138"/>
      <c r="G5" s="138"/>
      <c r="H5" s="138"/>
      <c r="I5" s="138"/>
      <c r="J5" s="138"/>
      <c r="K5" s="138"/>
    </row>
    <row r="6" spans="1:11" s="1" customFormat="1" ht="14.25">
      <c r="A6" s="2"/>
      <c r="B6" s="2"/>
      <c r="C6" s="2"/>
      <c r="D6" s="2"/>
      <c r="E6" s="2"/>
      <c r="F6" s="2"/>
      <c r="G6" s="2"/>
      <c r="H6" s="2"/>
      <c r="I6" s="2"/>
      <c r="J6" s="2"/>
      <c r="K6" s="2"/>
    </row>
    <row r="7" spans="1:11" s="1" customFormat="1" ht="12.75">
      <c r="A7" s="3"/>
      <c r="B7" s="4"/>
      <c r="C7" s="4"/>
      <c r="D7" s="5"/>
      <c r="E7" s="6"/>
      <c r="F7" s="5"/>
      <c r="G7" s="5"/>
      <c r="H7" s="5"/>
      <c r="I7" s="5"/>
      <c r="J7" s="5"/>
      <c r="K7" s="5"/>
    </row>
    <row r="8" spans="1:11" s="7" customFormat="1" ht="14.25" customHeight="1">
      <c r="A8" s="129" t="s">
        <v>41</v>
      </c>
      <c r="B8" s="130"/>
      <c r="C8" s="130"/>
      <c r="D8" s="130"/>
      <c r="E8" s="130"/>
      <c r="F8" s="130"/>
      <c r="G8" s="130"/>
      <c r="H8" s="130"/>
      <c r="I8" s="130"/>
      <c r="J8" s="130"/>
      <c r="K8" s="131"/>
    </row>
    <row r="9" spans="1:11" s="1" customFormat="1" ht="9" customHeight="1">
      <c r="A9" s="3"/>
      <c r="B9" s="4"/>
      <c r="C9" s="4"/>
      <c r="D9" s="5"/>
      <c r="E9" s="6"/>
      <c r="F9" s="5"/>
      <c r="G9" s="5"/>
      <c r="H9" s="5"/>
      <c r="I9" s="5"/>
      <c r="J9" s="5"/>
      <c r="K9" s="5"/>
    </row>
    <row r="10" spans="1:11" s="1" customFormat="1" ht="12.75">
      <c r="A10" s="3"/>
      <c r="B10" s="5"/>
      <c r="C10" s="5"/>
      <c r="D10" s="5"/>
      <c r="E10" s="6"/>
      <c r="F10" s="5"/>
      <c r="G10" s="5"/>
      <c r="H10" s="128" t="s">
        <v>5</v>
      </c>
      <c r="I10" s="128"/>
      <c r="J10" s="128"/>
      <c r="K10" s="128"/>
    </row>
    <row r="11" spans="1:11" s="1" customFormat="1" ht="7.5" customHeight="1">
      <c r="A11" s="3"/>
      <c r="B11" s="5"/>
      <c r="C11" s="5"/>
      <c r="D11" s="5"/>
      <c r="E11" s="6"/>
      <c r="F11" s="5"/>
      <c r="G11" s="5"/>
      <c r="H11" s="5"/>
      <c r="I11" s="5"/>
      <c r="J11" s="5"/>
      <c r="K11" s="5"/>
    </row>
    <row r="12" spans="1:11" s="12" customFormat="1" ht="12">
      <c r="A12" s="9"/>
      <c r="B12" s="10" t="s">
        <v>6</v>
      </c>
      <c r="C12" s="10" t="s">
        <v>6</v>
      </c>
      <c r="D12" s="10"/>
      <c r="E12" s="11" t="s">
        <v>7</v>
      </c>
      <c r="F12" s="10" t="s">
        <v>8</v>
      </c>
      <c r="G12" s="10"/>
      <c r="H12" s="10" t="s">
        <v>9</v>
      </c>
      <c r="I12" s="10" t="s">
        <v>83</v>
      </c>
      <c r="J12" s="10" t="s">
        <v>10</v>
      </c>
      <c r="K12" s="10" t="s">
        <v>84</v>
      </c>
    </row>
    <row r="13" spans="1:11" s="12" customFormat="1" ht="12">
      <c r="A13" s="13" t="s">
        <v>11</v>
      </c>
      <c r="B13" s="8" t="s">
        <v>12</v>
      </c>
      <c r="C13" s="8" t="s">
        <v>13</v>
      </c>
      <c r="D13" s="8" t="s">
        <v>14</v>
      </c>
      <c r="E13" s="14" t="s">
        <v>15</v>
      </c>
      <c r="F13" s="8" t="s">
        <v>16</v>
      </c>
      <c r="G13" s="15"/>
      <c r="H13" s="8" t="s">
        <v>17</v>
      </c>
      <c r="I13" s="8" t="s">
        <v>18</v>
      </c>
      <c r="J13" s="8" t="s">
        <v>19</v>
      </c>
      <c r="K13" s="8" t="s">
        <v>85</v>
      </c>
    </row>
    <row r="15" spans="1:11" ht="12.75">
      <c r="A15" s="3">
        <v>38808</v>
      </c>
      <c r="B15" s="16">
        <v>25295267.009999998</v>
      </c>
      <c r="C15" s="16">
        <f aca="true" t="shared" si="0" ref="C15:C26">B15-D15</f>
        <v>23226747.86</v>
      </c>
      <c r="D15" s="16">
        <v>2068519.15</v>
      </c>
      <c r="E15" s="17">
        <f>17580/30</f>
        <v>586</v>
      </c>
      <c r="F15" s="16">
        <v>117.66320534698522</v>
      </c>
      <c r="H15" s="16">
        <f aca="true" t="shared" si="1" ref="H15:H26">D15*0.5</f>
        <v>1034259.575</v>
      </c>
      <c r="I15" s="16">
        <f aca="true" t="shared" si="2" ref="I15:I26">D15*0.32</f>
        <v>661926.128</v>
      </c>
      <c r="J15" s="16">
        <f aca="true" t="shared" si="3" ref="J15:J26">D15*0.08</f>
        <v>165481.532</v>
      </c>
      <c r="K15" s="16">
        <f aca="true" t="shared" si="4" ref="K15:K26">D15*0.1</f>
        <v>206851.915</v>
      </c>
    </row>
    <row r="16" spans="1:11" ht="12.75">
      <c r="A16" s="3">
        <v>38838</v>
      </c>
      <c r="B16" s="16">
        <v>24747587.621000003</v>
      </c>
      <c r="C16" s="16">
        <f t="shared" si="0"/>
        <v>22743161.501000002</v>
      </c>
      <c r="D16" s="16">
        <v>2004426.12</v>
      </c>
      <c r="E16" s="17">
        <f>18166/31</f>
        <v>586</v>
      </c>
      <c r="F16" s="16">
        <v>110.33943190575802</v>
      </c>
      <c r="H16" s="16">
        <f t="shared" si="1"/>
        <v>1002213.06</v>
      </c>
      <c r="I16" s="16">
        <f t="shared" si="2"/>
        <v>641416.3584</v>
      </c>
      <c r="J16" s="16">
        <f t="shared" si="3"/>
        <v>160354.0896</v>
      </c>
      <c r="K16" s="16">
        <f t="shared" si="4"/>
        <v>200442.61200000002</v>
      </c>
    </row>
    <row r="17" spans="1:11" ht="12.75">
      <c r="A17" s="3">
        <v>38869</v>
      </c>
      <c r="B17" s="16">
        <v>24195966.010000005</v>
      </c>
      <c r="C17" s="16">
        <f t="shared" si="0"/>
        <v>22179938.290000007</v>
      </c>
      <c r="D17" s="16">
        <v>2016027.72</v>
      </c>
      <c r="E17" s="17">
        <f>17580/30</f>
        <v>586</v>
      </c>
      <c r="F17" s="16">
        <v>114.67734470989762</v>
      </c>
      <c r="H17" s="16">
        <f t="shared" si="1"/>
        <v>1008013.86</v>
      </c>
      <c r="I17" s="16">
        <f t="shared" si="2"/>
        <v>645128.8704</v>
      </c>
      <c r="J17" s="16">
        <f t="shared" si="3"/>
        <v>161282.2176</v>
      </c>
      <c r="K17" s="16">
        <f t="shared" si="4"/>
        <v>201602.772</v>
      </c>
    </row>
    <row r="18" spans="1:11" ht="12.75">
      <c r="A18" s="3">
        <v>38899</v>
      </c>
      <c r="B18" s="16">
        <v>28070461.999999996</v>
      </c>
      <c r="C18" s="16">
        <f t="shared" si="0"/>
        <v>25831299.08</v>
      </c>
      <c r="D18" s="16">
        <v>2239162.92</v>
      </c>
      <c r="E18" s="17">
        <f>18166/31</f>
        <v>586</v>
      </c>
      <c r="F18" s="16">
        <v>123.26119784212264</v>
      </c>
      <c r="H18" s="16">
        <f t="shared" si="1"/>
        <v>1119581.46</v>
      </c>
      <c r="I18" s="16">
        <f t="shared" si="2"/>
        <v>716532.1344</v>
      </c>
      <c r="J18" s="16">
        <f t="shared" si="3"/>
        <v>179133.0336</v>
      </c>
      <c r="K18" s="16">
        <f t="shared" si="4"/>
        <v>223916.29200000002</v>
      </c>
    </row>
    <row r="19" spans="1:11" ht="12.75">
      <c r="A19" s="3">
        <v>38930</v>
      </c>
      <c r="B19" s="16">
        <v>29615042.15999999</v>
      </c>
      <c r="C19" s="16">
        <f t="shared" si="0"/>
        <v>27092389.039999988</v>
      </c>
      <c r="D19" s="16">
        <v>2522653.12</v>
      </c>
      <c r="E19" s="17">
        <f>18166/31</f>
        <v>586</v>
      </c>
      <c r="F19" s="16">
        <v>138.86673566002423</v>
      </c>
      <c r="H19" s="16">
        <f t="shared" si="1"/>
        <v>1261326.56</v>
      </c>
      <c r="I19" s="16">
        <f t="shared" si="2"/>
        <v>807248.9984</v>
      </c>
      <c r="J19" s="16">
        <f t="shared" si="3"/>
        <v>201812.2496</v>
      </c>
      <c r="K19" s="16">
        <f t="shared" si="4"/>
        <v>252265.31200000003</v>
      </c>
    </row>
    <row r="20" spans="1:11" ht="12.75">
      <c r="A20" s="3">
        <v>38961</v>
      </c>
      <c r="B20" s="16">
        <v>25786058.06</v>
      </c>
      <c r="C20" s="16">
        <f t="shared" si="0"/>
        <v>23679244.13</v>
      </c>
      <c r="D20" s="16">
        <v>2106813.93</v>
      </c>
      <c r="E20" s="17">
        <f>17670/30</f>
        <v>589</v>
      </c>
      <c r="F20" s="16">
        <v>119.23112224108657</v>
      </c>
      <c r="H20" s="16">
        <f t="shared" si="1"/>
        <v>1053406.965</v>
      </c>
      <c r="I20" s="16">
        <f t="shared" si="2"/>
        <v>674180.4576000001</v>
      </c>
      <c r="J20" s="16">
        <f t="shared" si="3"/>
        <v>168545.11440000002</v>
      </c>
      <c r="K20" s="16">
        <f t="shared" si="4"/>
        <v>210681.39300000004</v>
      </c>
    </row>
    <row r="21" spans="1:11" ht="12.75">
      <c r="A21" s="3">
        <v>38991</v>
      </c>
      <c r="B21" s="16">
        <v>21373577.209999993</v>
      </c>
      <c r="C21" s="16">
        <f t="shared" si="0"/>
        <v>19598273.979999993</v>
      </c>
      <c r="D21" s="16">
        <v>1775303.23</v>
      </c>
      <c r="E21" s="17">
        <f>18321/31</f>
        <v>591</v>
      </c>
      <c r="F21" s="16">
        <v>96.8999088477703</v>
      </c>
      <c r="H21" s="16">
        <f t="shared" si="1"/>
        <v>887651.615</v>
      </c>
      <c r="I21" s="16">
        <f t="shared" si="2"/>
        <v>568097.0336</v>
      </c>
      <c r="J21" s="16">
        <f t="shared" si="3"/>
        <v>142024.2584</v>
      </c>
      <c r="K21" s="16">
        <f t="shared" si="4"/>
        <v>177530.323</v>
      </c>
    </row>
    <row r="22" spans="1:11" ht="12.75">
      <c r="A22" s="3">
        <v>39022</v>
      </c>
      <c r="B22" s="16">
        <v>21846031.779999997</v>
      </c>
      <c r="C22" s="16">
        <f t="shared" si="0"/>
        <v>20012900.88</v>
      </c>
      <c r="D22" s="16">
        <v>1833130.9</v>
      </c>
      <c r="E22" s="17">
        <f>17730/30</f>
        <v>591</v>
      </c>
      <c r="F22" s="16">
        <v>103.39147772137619</v>
      </c>
      <c r="H22" s="16">
        <f t="shared" si="1"/>
        <v>916565.45</v>
      </c>
      <c r="I22" s="16">
        <f t="shared" si="2"/>
        <v>586601.888</v>
      </c>
      <c r="J22" s="16">
        <f t="shared" si="3"/>
        <v>146650.472</v>
      </c>
      <c r="K22" s="16">
        <f t="shared" si="4"/>
        <v>183313.09</v>
      </c>
    </row>
    <row r="23" spans="1:11" ht="12.75">
      <c r="A23" s="3">
        <v>39052</v>
      </c>
      <c r="B23" s="16">
        <v>21999706.610000003</v>
      </c>
      <c r="C23" s="16">
        <f t="shared" si="0"/>
        <v>20220135.230000004</v>
      </c>
      <c r="D23" s="16">
        <v>1779571.38</v>
      </c>
      <c r="E23" s="17">
        <f>18321/31</f>
        <v>591</v>
      </c>
      <c r="F23" s="16">
        <v>97.1328737514328</v>
      </c>
      <c r="H23" s="16">
        <f t="shared" si="1"/>
        <v>889785.69</v>
      </c>
      <c r="I23" s="16">
        <f t="shared" si="2"/>
        <v>569462.8415999999</v>
      </c>
      <c r="J23" s="16">
        <f t="shared" si="3"/>
        <v>142365.71039999998</v>
      </c>
      <c r="K23" s="16">
        <f t="shared" si="4"/>
        <v>177957.138</v>
      </c>
    </row>
    <row r="24" spans="1:11" ht="12.75">
      <c r="A24" s="3">
        <v>39083</v>
      </c>
      <c r="B24" s="16">
        <v>21644268.18</v>
      </c>
      <c r="C24" s="16">
        <f t="shared" si="0"/>
        <v>19848502.7</v>
      </c>
      <c r="D24" s="16">
        <v>1795765.48</v>
      </c>
      <c r="E24" s="17">
        <f>18321/31</f>
        <v>591</v>
      </c>
      <c r="F24" s="16">
        <v>98.01678292669614</v>
      </c>
      <c r="H24" s="16">
        <f t="shared" si="1"/>
        <v>897882.74</v>
      </c>
      <c r="I24" s="16">
        <f t="shared" si="2"/>
        <v>574644.9536</v>
      </c>
      <c r="J24" s="16">
        <f t="shared" si="3"/>
        <v>143661.2384</v>
      </c>
      <c r="K24" s="16">
        <f t="shared" si="4"/>
        <v>179576.548</v>
      </c>
    </row>
    <row r="25" spans="1:11" ht="12.75">
      <c r="A25" s="3">
        <v>39114</v>
      </c>
      <c r="B25" s="16">
        <v>20482007.299999993</v>
      </c>
      <c r="C25" s="16">
        <f t="shared" si="0"/>
        <v>18729050.999999993</v>
      </c>
      <c r="D25" s="16">
        <v>1752956.3</v>
      </c>
      <c r="E25" s="17">
        <f>16548/28</f>
        <v>591</v>
      </c>
      <c r="F25" s="16">
        <v>105.93161107082429</v>
      </c>
      <c r="H25" s="16">
        <f t="shared" si="1"/>
        <v>876478.15</v>
      </c>
      <c r="I25" s="16">
        <f t="shared" si="2"/>
        <v>560946.0160000001</v>
      </c>
      <c r="J25" s="16">
        <f t="shared" si="3"/>
        <v>140236.50400000002</v>
      </c>
      <c r="K25" s="16">
        <f t="shared" si="4"/>
        <v>175295.63</v>
      </c>
    </row>
    <row r="26" spans="1:11" ht="12.75">
      <c r="A26" s="3">
        <v>39142</v>
      </c>
      <c r="B26" s="16">
        <v>28849114.119999994</v>
      </c>
      <c r="C26" s="16">
        <f t="shared" si="0"/>
        <v>26476549.599999994</v>
      </c>
      <c r="D26" s="16">
        <v>2372564.52</v>
      </c>
      <c r="E26" s="17">
        <f>18321/31</f>
        <v>591</v>
      </c>
      <c r="F26" s="16">
        <v>129.49972818077617</v>
      </c>
      <c r="H26" s="16">
        <f t="shared" si="1"/>
        <v>1186282.26</v>
      </c>
      <c r="I26" s="16">
        <f t="shared" si="2"/>
        <v>759220.6464</v>
      </c>
      <c r="J26" s="16">
        <f t="shared" si="3"/>
        <v>189805.1616</v>
      </c>
      <c r="K26" s="16">
        <f t="shared" si="4"/>
        <v>237256.45200000002</v>
      </c>
    </row>
    <row r="27" spans="1:11" ht="13.5" thickBot="1">
      <c r="A27" s="3" t="s">
        <v>20</v>
      </c>
      <c r="B27" s="18">
        <f>SUM(B15:B26)</f>
        <v>293905088.061</v>
      </c>
      <c r="C27" s="18">
        <f>SUM(C15:C26)</f>
        <v>269638193.291</v>
      </c>
      <c r="D27" s="18">
        <f>SUM(D15:D26)</f>
        <v>24266894.770000003</v>
      </c>
      <c r="H27" s="18">
        <f>SUM(H15:H26)</f>
        <v>12133447.385000002</v>
      </c>
      <c r="I27" s="18">
        <f>SUM(I15:I26)</f>
        <v>7765406.3264</v>
      </c>
      <c r="J27" s="18">
        <f>SUM(J15:J26)</f>
        <v>1941351.5816</v>
      </c>
      <c r="K27" s="18">
        <f>SUM(K15:K26)</f>
        <v>2426689.4770000004</v>
      </c>
    </row>
    <row r="28" spans="2:11" ht="10.5" customHeight="1" thickTop="1">
      <c r="B28" s="19"/>
      <c r="C28" s="19"/>
      <c r="D28" s="19"/>
      <c r="H28" s="19"/>
      <c r="I28" s="19"/>
      <c r="J28" s="19"/>
      <c r="K28" s="19"/>
    </row>
    <row r="29" spans="1:11" s="22" customFormat="1" ht="12.75">
      <c r="A29" s="20"/>
      <c r="B29" s="21"/>
      <c r="C29" s="21">
        <f>C27/B27</f>
        <v>0.91743288648013</v>
      </c>
      <c r="D29" s="21">
        <f>D27/B27</f>
        <v>0.08256711351987009</v>
      </c>
      <c r="H29" s="21">
        <f>H27/$D$27</f>
        <v>0.5</v>
      </c>
      <c r="I29" s="21">
        <f>I27/$D$27</f>
        <v>0.31999999999999995</v>
      </c>
      <c r="J29" s="21">
        <f>J27/$D$27</f>
        <v>0.07999999999999999</v>
      </c>
      <c r="K29" s="21">
        <f>K27/$D$27</f>
        <v>0.1</v>
      </c>
    </row>
    <row r="31" spans="1:11" s="23" customFormat="1" ht="12.75">
      <c r="A31" s="129" t="s">
        <v>21</v>
      </c>
      <c r="B31" s="130"/>
      <c r="C31" s="130"/>
      <c r="D31" s="130"/>
      <c r="E31" s="130"/>
      <c r="F31" s="130"/>
      <c r="G31" s="130"/>
      <c r="H31" s="130"/>
      <c r="I31" s="130"/>
      <c r="J31" s="130"/>
      <c r="K31" s="131"/>
    </row>
    <row r="32" ht="12.75">
      <c r="A32" s="24"/>
    </row>
    <row r="33" spans="1:12" s="49" customFormat="1" ht="12.75" customHeight="1">
      <c r="A33" s="45" t="s">
        <v>22</v>
      </c>
      <c r="B33" s="46"/>
      <c r="C33" s="57" t="s">
        <v>94</v>
      </c>
      <c r="D33" s="58"/>
      <c r="E33" s="58"/>
      <c r="F33" s="58"/>
      <c r="G33" s="58"/>
      <c r="H33" s="58"/>
      <c r="I33" s="58"/>
      <c r="J33" s="58"/>
      <c r="K33" s="58"/>
      <c r="L33" s="58"/>
    </row>
    <row r="34" spans="1:12" s="49" customFormat="1" ht="12.75" customHeight="1">
      <c r="A34" s="45"/>
      <c r="B34" s="46"/>
      <c r="C34" s="57" t="s">
        <v>95</v>
      </c>
      <c r="D34" s="58"/>
      <c r="E34" s="58"/>
      <c r="F34" s="58"/>
      <c r="G34" s="58"/>
      <c r="H34" s="58"/>
      <c r="I34" s="58"/>
      <c r="J34" s="58"/>
      <c r="K34" s="58"/>
      <c r="L34" s="58"/>
    </row>
    <row r="35" spans="1:11" ht="6" customHeight="1">
      <c r="A35" s="25"/>
      <c r="B35" s="26"/>
      <c r="C35" s="26"/>
      <c r="E35" s="26"/>
      <c r="F35" s="26"/>
      <c r="G35" s="26"/>
      <c r="H35" s="26"/>
      <c r="I35" s="26"/>
      <c r="J35" s="26"/>
      <c r="K35" s="26"/>
    </row>
    <row r="36" spans="1:11" ht="12.75">
      <c r="A36" s="25" t="s">
        <v>23</v>
      </c>
      <c r="B36" s="26"/>
      <c r="C36" s="26" t="s">
        <v>24</v>
      </c>
      <c r="E36" s="26"/>
      <c r="F36" s="26"/>
      <c r="G36" s="26"/>
      <c r="H36" s="26"/>
      <c r="I36" s="26"/>
      <c r="J36" s="26"/>
      <c r="K36" s="26"/>
    </row>
    <row r="37" spans="1:11" ht="6" customHeight="1">
      <c r="A37" s="25"/>
      <c r="B37" s="26"/>
      <c r="C37" s="26"/>
      <c r="E37" s="26"/>
      <c r="F37" s="26"/>
      <c r="G37" s="26"/>
      <c r="H37" s="26"/>
      <c r="I37" s="26"/>
      <c r="J37" s="26"/>
      <c r="K37" s="26"/>
    </row>
    <row r="38" spans="1:11" ht="12.75">
      <c r="A38" s="25" t="s">
        <v>25</v>
      </c>
      <c r="B38" s="26"/>
      <c r="C38" s="26" t="s">
        <v>26</v>
      </c>
      <c r="E38" s="27"/>
      <c r="F38" s="26"/>
      <c r="G38" s="26"/>
      <c r="H38" s="26"/>
      <c r="I38" s="26"/>
      <c r="J38" s="26"/>
      <c r="K38" s="26"/>
    </row>
    <row r="39" spans="1:11" ht="12.75">
      <c r="A39" s="25"/>
      <c r="B39" s="26"/>
      <c r="C39" s="26" t="s">
        <v>27</v>
      </c>
      <c r="E39" s="27"/>
      <c r="F39" s="26"/>
      <c r="G39" s="26"/>
      <c r="H39" s="26"/>
      <c r="I39" s="26"/>
      <c r="J39" s="26"/>
      <c r="K39" s="26"/>
    </row>
    <row r="40" spans="1:11" ht="6" customHeight="1">
      <c r="A40" s="25"/>
      <c r="B40" s="26"/>
      <c r="C40" s="26"/>
      <c r="E40" s="27"/>
      <c r="F40" s="26"/>
      <c r="G40" s="26"/>
      <c r="H40" s="26"/>
      <c r="I40" s="26"/>
      <c r="J40" s="26"/>
      <c r="K40" s="26"/>
    </row>
    <row r="41" spans="1:11" ht="12.75">
      <c r="A41" s="25" t="s">
        <v>28</v>
      </c>
      <c r="B41" s="26"/>
      <c r="C41" s="26" t="s">
        <v>29</v>
      </c>
      <c r="E41" s="27"/>
      <c r="F41" s="26"/>
      <c r="G41" s="26"/>
      <c r="H41" s="26"/>
      <c r="I41" s="26"/>
      <c r="J41" s="26"/>
      <c r="K41" s="26"/>
    </row>
    <row r="42" spans="1:11" ht="6" customHeight="1">
      <c r="A42" s="25"/>
      <c r="B42" s="26"/>
      <c r="C42" s="26"/>
      <c r="E42" s="27"/>
      <c r="F42" s="26"/>
      <c r="G42" s="26"/>
      <c r="H42" s="26"/>
      <c r="I42" s="26"/>
      <c r="J42" s="26"/>
      <c r="K42" s="26"/>
    </row>
    <row r="43" spans="1:12" s="49" customFormat="1" ht="12.75">
      <c r="A43" s="45" t="s">
        <v>74</v>
      </c>
      <c r="B43" s="46"/>
      <c r="C43" s="46" t="s">
        <v>75</v>
      </c>
      <c r="D43" s="47"/>
      <c r="E43" s="48"/>
      <c r="F43" s="46"/>
      <c r="G43" s="46"/>
      <c r="H43" s="46"/>
      <c r="I43" s="46"/>
      <c r="J43" s="46"/>
      <c r="K43" s="46"/>
      <c r="L43" s="46"/>
    </row>
    <row r="44" spans="1:12" s="49" customFormat="1" ht="12.75">
      <c r="A44" s="45"/>
      <c r="B44" s="46"/>
      <c r="C44" s="46" t="s">
        <v>81</v>
      </c>
      <c r="D44" s="47"/>
      <c r="E44" s="48"/>
      <c r="F44" s="46"/>
      <c r="G44" s="46"/>
      <c r="H44" s="46"/>
      <c r="I44" s="46"/>
      <c r="J44" s="46"/>
      <c r="K44" s="46"/>
      <c r="L44" s="46"/>
    </row>
    <row r="45" spans="1:12" s="49" customFormat="1" ht="12.75">
      <c r="A45" s="45"/>
      <c r="B45" s="46"/>
      <c r="C45" s="46" t="s">
        <v>82</v>
      </c>
      <c r="D45" s="47"/>
      <c r="E45" s="48"/>
      <c r="F45" s="46"/>
      <c r="G45" s="46"/>
      <c r="H45" s="46"/>
      <c r="I45" s="46"/>
      <c r="J45" s="46"/>
      <c r="K45" s="46"/>
      <c r="L45" s="46"/>
    </row>
    <row r="46" spans="1:11" ht="6" customHeight="1">
      <c r="A46" s="25"/>
      <c r="B46" s="26"/>
      <c r="C46" s="26"/>
      <c r="E46" s="27"/>
      <c r="F46" s="26"/>
      <c r="G46" s="26"/>
      <c r="H46" s="26"/>
      <c r="I46" s="26"/>
      <c r="J46" s="26"/>
      <c r="K46" s="26"/>
    </row>
    <row r="47" spans="1:12" s="49" customFormat="1" ht="12.75">
      <c r="A47" s="45" t="s">
        <v>30</v>
      </c>
      <c r="B47" s="46"/>
      <c r="C47" s="46" t="s">
        <v>76</v>
      </c>
      <c r="D47" s="47"/>
      <c r="E47" s="48"/>
      <c r="F47" s="46"/>
      <c r="G47" s="46"/>
      <c r="H47" s="46"/>
      <c r="I47" s="46"/>
      <c r="J47" s="46"/>
      <c r="K47" s="46"/>
      <c r="L47" s="46"/>
    </row>
    <row r="48" spans="1:12" s="49" customFormat="1" ht="12.75">
      <c r="A48" s="45"/>
      <c r="B48" s="46"/>
      <c r="C48" s="46" t="s">
        <v>77</v>
      </c>
      <c r="D48" s="47"/>
      <c r="E48" s="48"/>
      <c r="F48" s="46"/>
      <c r="G48" s="46"/>
      <c r="H48" s="46"/>
      <c r="I48" s="46"/>
      <c r="J48" s="46"/>
      <c r="K48" s="46"/>
      <c r="L48" s="46"/>
    </row>
    <row r="49" spans="1:11" ht="6" customHeight="1">
      <c r="A49" s="25"/>
      <c r="B49" s="26"/>
      <c r="C49" s="26"/>
      <c r="E49" s="27"/>
      <c r="F49" s="26"/>
      <c r="G49" s="26"/>
      <c r="H49" s="26"/>
      <c r="I49" s="26"/>
      <c r="J49" s="26"/>
      <c r="K49" s="26"/>
    </row>
    <row r="50" spans="1:12" s="49" customFormat="1" ht="12.75">
      <c r="A50" s="45" t="s">
        <v>78</v>
      </c>
      <c r="B50" s="46"/>
      <c r="C50" s="46" t="s">
        <v>79</v>
      </c>
      <c r="D50" s="47"/>
      <c r="E50" s="48"/>
      <c r="F50" s="46"/>
      <c r="G50" s="46"/>
      <c r="H50" s="46"/>
      <c r="I50" s="46"/>
      <c r="J50" s="46"/>
      <c r="K50" s="46"/>
      <c r="L50" s="46"/>
    </row>
    <row r="51" spans="1:12" s="49" customFormat="1" ht="12.75">
      <c r="A51" s="50"/>
      <c r="B51" s="46"/>
      <c r="C51" s="46" t="s">
        <v>80</v>
      </c>
      <c r="D51" s="47"/>
      <c r="E51" s="48"/>
      <c r="F51" s="46"/>
      <c r="G51" s="46"/>
      <c r="H51" s="46"/>
      <c r="I51" s="46"/>
      <c r="J51" s="46"/>
      <c r="K51" s="46"/>
      <c r="L51" s="46"/>
    </row>
    <row r="52" spans="1:11" ht="12.75">
      <c r="A52" s="29"/>
      <c r="B52" s="30"/>
      <c r="C52" s="30"/>
      <c r="D52" s="30"/>
      <c r="E52" s="31"/>
      <c r="F52" s="30"/>
      <c r="G52" s="30"/>
      <c r="H52" s="30"/>
      <c r="I52" s="30"/>
      <c r="J52" s="30"/>
      <c r="K52" s="30"/>
    </row>
    <row r="53" spans="1:11" s="23" customFormat="1" ht="12.75">
      <c r="A53" s="129" t="s">
        <v>31</v>
      </c>
      <c r="B53" s="130"/>
      <c r="C53" s="130"/>
      <c r="D53" s="130"/>
      <c r="E53" s="130"/>
      <c r="F53" s="130"/>
      <c r="G53" s="130"/>
      <c r="H53" s="130"/>
      <c r="I53" s="130"/>
      <c r="J53" s="130"/>
      <c r="K53" s="131"/>
    </row>
    <row r="54" ht="12.75">
      <c r="A54" s="24"/>
    </row>
    <row r="55" spans="1:11" ht="13.5">
      <c r="A55" s="32"/>
      <c r="F55" s="10" t="s">
        <v>9</v>
      </c>
      <c r="G55" s="33"/>
      <c r="H55" s="10" t="s">
        <v>83</v>
      </c>
      <c r="I55" s="10" t="s">
        <v>10</v>
      </c>
      <c r="J55" s="51" t="s">
        <v>84</v>
      </c>
      <c r="K55" s="34"/>
    </row>
    <row r="56" spans="1:11" ht="12.75">
      <c r="A56" s="35"/>
      <c r="F56" s="8" t="s">
        <v>17</v>
      </c>
      <c r="G56" s="36"/>
      <c r="H56" s="8" t="s">
        <v>18</v>
      </c>
      <c r="I56" s="8" t="s">
        <v>19</v>
      </c>
      <c r="J56" s="52" t="s">
        <v>85</v>
      </c>
      <c r="K56" s="34"/>
    </row>
    <row r="57" spans="2:11" ht="12.75">
      <c r="B57" s="39" t="s">
        <v>35</v>
      </c>
      <c r="C57" s="39"/>
      <c r="D57" s="26"/>
      <c r="E57" s="27"/>
      <c r="F57" s="40">
        <v>0.5</v>
      </c>
      <c r="G57" s="26"/>
      <c r="H57" s="40">
        <v>0.32</v>
      </c>
      <c r="I57" s="40">
        <v>0.08</v>
      </c>
      <c r="J57" s="40">
        <v>0.1</v>
      </c>
      <c r="K57" s="41"/>
    </row>
    <row r="58" spans="2:11" ht="12.75">
      <c r="B58" s="39" t="s">
        <v>36</v>
      </c>
      <c r="C58" s="39"/>
      <c r="D58" s="26"/>
      <c r="E58" s="27"/>
      <c r="F58" s="40">
        <v>0.53</v>
      </c>
      <c r="G58" s="26"/>
      <c r="H58" s="40">
        <v>0.29</v>
      </c>
      <c r="I58" s="40">
        <v>0.08</v>
      </c>
      <c r="J58" s="40">
        <v>0.1</v>
      </c>
      <c r="K58" s="41"/>
    </row>
    <row r="59" spans="2:11" ht="12.75">
      <c r="B59" s="39" t="s">
        <v>37</v>
      </c>
      <c r="C59" s="39"/>
      <c r="D59" s="26"/>
      <c r="E59" s="27"/>
      <c r="F59" s="40">
        <v>0.56</v>
      </c>
      <c r="G59" s="26"/>
      <c r="H59" s="40">
        <v>0.29</v>
      </c>
      <c r="I59" s="40">
        <v>0.05</v>
      </c>
      <c r="J59" s="40">
        <v>0.1</v>
      </c>
      <c r="K59" s="41"/>
    </row>
    <row r="60" spans="2:11" ht="12.75">
      <c r="B60" s="39" t="s">
        <v>38</v>
      </c>
      <c r="C60" s="39"/>
      <c r="D60" s="26"/>
      <c r="E60" s="27"/>
      <c r="F60" s="40">
        <v>0.59</v>
      </c>
      <c r="G60" s="26"/>
      <c r="H60" s="40">
        <v>0.26</v>
      </c>
      <c r="I60" s="40">
        <v>0.05</v>
      </c>
      <c r="J60" s="40">
        <v>0.1</v>
      </c>
      <c r="K60" s="41"/>
    </row>
    <row r="61" ht="12.75">
      <c r="A61" s="24"/>
    </row>
    <row r="62" ht="12.75">
      <c r="D62" s="16" t="s">
        <v>39</v>
      </c>
    </row>
    <row r="64" ht="12.75">
      <c r="A64" s="24" t="s">
        <v>40</v>
      </c>
    </row>
  </sheetData>
  <sheetProtection/>
  <mergeCells count="9">
    <mergeCell ref="A31:K31"/>
    <mergeCell ref="A53:K53"/>
    <mergeCell ref="H10:K10"/>
    <mergeCell ref="A8:K8"/>
    <mergeCell ref="A5:K5"/>
    <mergeCell ref="A1:K1"/>
    <mergeCell ref="A2:K2"/>
    <mergeCell ref="A3:K3"/>
    <mergeCell ref="A4:K4"/>
  </mergeCells>
  <hyperlinks>
    <hyperlink ref="A4" r:id="rId1" display="www.batavia-downs.com"/>
  </hyperlinks>
  <printOptions horizontalCentered="1"/>
  <pageMargins left="0.25" right="0.25" top="0.5" bottom="0.5" header="0.5" footer="0.5"/>
  <pageSetup fitToHeight="1" fitToWidth="1" horizontalDpi="600" verticalDpi="600" orientation="portrait" scale="80" r:id="rId3"/>
  <drawing r:id="rId2"/>
</worksheet>
</file>

<file path=xl/worksheets/sheet19.xml><?xml version="1.0" encoding="utf-8"?>
<worksheet xmlns="http://schemas.openxmlformats.org/spreadsheetml/2006/main" xmlns:r="http://schemas.openxmlformats.org/officeDocument/2006/relationships">
  <sheetPr>
    <pageSetUpPr fitToPage="1"/>
  </sheetPr>
  <dimension ref="A1:L68"/>
  <sheetViews>
    <sheetView zoomScalePageLayoutView="0" workbookViewId="0" topLeftCell="A1">
      <selection activeCell="B28" sqref="B28"/>
    </sheetView>
  </sheetViews>
  <sheetFormatPr defaultColWidth="9.140625" defaultRowHeight="12.75"/>
  <cols>
    <col min="1" max="1" width="9.28125" style="3" customWidth="1"/>
    <col min="2" max="3" width="14.140625" style="16" customWidth="1"/>
    <col min="4" max="4" width="12.7109375" style="16" customWidth="1"/>
    <col min="5" max="5" width="8.8515625" style="17" customWidth="1"/>
    <col min="6" max="6" width="10.28125" style="16" customWidth="1"/>
    <col min="7" max="7" width="1.421875" style="16" customWidth="1"/>
    <col min="8" max="9" width="12.28125" style="16" customWidth="1"/>
    <col min="10" max="10" width="16.140625" style="16" customWidth="1"/>
    <col min="11" max="11" width="17.7109375" style="16" customWidth="1"/>
    <col min="12" max="12" width="12.7109375" style="0" customWidth="1"/>
  </cols>
  <sheetData>
    <row r="1" spans="1:12" ht="18">
      <c r="A1" s="136" t="s">
        <v>60</v>
      </c>
      <c r="B1" s="136"/>
      <c r="C1" s="136"/>
      <c r="D1" s="136"/>
      <c r="E1" s="136"/>
      <c r="F1" s="136"/>
      <c r="G1" s="136"/>
      <c r="H1" s="136"/>
      <c r="I1" s="136"/>
      <c r="J1" s="136"/>
      <c r="K1" s="136"/>
      <c r="L1" s="42"/>
    </row>
    <row r="2" spans="1:11" ht="15">
      <c r="A2" s="137" t="s">
        <v>0</v>
      </c>
      <c r="B2" s="137"/>
      <c r="C2" s="137"/>
      <c r="D2" s="137"/>
      <c r="E2" s="137"/>
      <c r="F2" s="137"/>
      <c r="G2" s="137"/>
      <c r="H2" s="137"/>
      <c r="I2" s="137"/>
      <c r="J2" s="137"/>
      <c r="K2" s="137"/>
    </row>
    <row r="3" spans="1:11" s="1" customFormat="1" ht="15">
      <c r="A3" s="137" t="s">
        <v>1</v>
      </c>
      <c r="B3" s="137"/>
      <c r="C3" s="137"/>
      <c r="D3" s="137"/>
      <c r="E3" s="137"/>
      <c r="F3" s="137"/>
      <c r="G3" s="137"/>
      <c r="H3" s="137"/>
      <c r="I3" s="137"/>
      <c r="J3" s="137"/>
      <c r="K3" s="137"/>
    </row>
    <row r="4" spans="1:11" s="1" customFormat="1" ht="14.25">
      <c r="A4" s="124" t="s">
        <v>2</v>
      </c>
      <c r="B4" s="124"/>
      <c r="C4" s="124"/>
      <c r="D4" s="124"/>
      <c r="E4" s="124"/>
      <c r="F4" s="124"/>
      <c r="G4" s="124"/>
      <c r="H4" s="124"/>
      <c r="I4" s="124"/>
      <c r="J4" s="124"/>
      <c r="K4" s="124"/>
    </row>
    <row r="5" spans="1:11" s="1" customFormat="1" ht="14.25">
      <c r="A5" s="138" t="s">
        <v>3</v>
      </c>
      <c r="B5" s="138"/>
      <c r="C5" s="138"/>
      <c r="D5" s="138"/>
      <c r="E5" s="138"/>
      <c r="F5" s="138"/>
      <c r="G5" s="138"/>
      <c r="H5" s="138"/>
      <c r="I5" s="138"/>
      <c r="J5" s="138"/>
      <c r="K5" s="138"/>
    </row>
    <row r="6" spans="1:11" s="1" customFormat="1" ht="14.25">
      <c r="A6" s="2"/>
      <c r="B6" s="2"/>
      <c r="C6" s="2"/>
      <c r="D6" s="2"/>
      <c r="E6" s="2"/>
      <c r="F6" s="2"/>
      <c r="G6" s="2"/>
      <c r="H6" s="2"/>
      <c r="I6" s="2"/>
      <c r="J6" s="2"/>
      <c r="K6" s="2"/>
    </row>
    <row r="7" spans="1:11" s="1" customFormat="1" ht="12.75">
      <c r="A7" s="3"/>
      <c r="B7" s="4"/>
      <c r="C7" s="4"/>
      <c r="D7" s="5"/>
      <c r="E7" s="6"/>
      <c r="F7" s="5"/>
      <c r="G7" s="5"/>
      <c r="H7" s="5"/>
      <c r="I7" s="5"/>
      <c r="J7" s="5"/>
      <c r="K7" s="5"/>
    </row>
    <row r="8" spans="1:11" s="7" customFormat="1" ht="14.25" customHeight="1">
      <c r="A8" s="129" t="s">
        <v>4</v>
      </c>
      <c r="B8" s="130"/>
      <c r="C8" s="130"/>
      <c r="D8" s="130"/>
      <c r="E8" s="130"/>
      <c r="F8" s="130"/>
      <c r="G8" s="130"/>
      <c r="H8" s="130"/>
      <c r="I8" s="130"/>
      <c r="J8" s="130"/>
      <c r="K8" s="131"/>
    </row>
    <row r="9" spans="1:11" s="1" customFormat="1" ht="9" customHeight="1">
      <c r="A9" s="3"/>
      <c r="B9" s="4"/>
      <c r="C9" s="4"/>
      <c r="D9" s="5"/>
      <c r="E9" s="6"/>
      <c r="F9" s="5"/>
      <c r="G9" s="5"/>
      <c r="H9" s="5"/>
      <c r="I9" s="5"/>
      <c r="J9" s="5"/>
      <c r="K9" s="5"/>
    </row>
    <row r="10" spans="1:11" s="1" customFormat="1" ht="12.75">
      <c r="A10" s="3"/>
      <c r="B10" s="5"/>
      <c r="C10" s="5"/>
      <c r="D10" s="5"/>
      <c r="E10" s="6"/>
      <c r="F10" s="5"/>
      <c r="G10" s="5"/>
      <c r="H10" s="128" t="s">
        <v>5</v>
      </c>
      <c r="I10" s="128"/>
      <c r="J10" s="128"/>
      <c r="K10" s="128"/>
    </row>
    <row r="11" spans="1:11" s="1" customFormat="1" ht="7.5" customHeight="1">
      <c r="A11" s="3"/>
      <c r="B11" s="5"/>
      <c r="C11" s="5"/>
      <c r="D11" s="5"/>
      <c r="E11" s="6"/>
      <c r="F11" s="5"/>
      <c r="G11" s="5"/>
      <c r="H11" s="5"/>
      <c r="I11" s="5"/>
      <c r="J11" s="5"/>
      <c r="K11" s="5"/>
    </row>
    <row r="12" spans="1:11" s="12" customFormat="1" ht="12">
      <c r="A12" s="9"/>
      <c r="B12" s="10" t="s">
        <v>6</v>
      </c>
      <c r="C12" s="10" t="s">
        <v>6</v>
      </c>
      <c r="D12" s="10"/>
      <c r="E12" s="11" t="s">
        <v>7</v>
      </c>
      <c r="F12" s="10" t="s">
        <v>8</v>
      </c>
      <c r="G12" s="10"/>
      <c r="H12" s="10" t="s">
        <v>9</v>
      </c>
      <c r="I12" s="10" t="s">
        <v>83</v>
      </c>
      <c r="J12" s="10" t="s">
        <v>10</v>
      </c>
      <c r="K12" s="10" t="s">
        <v>84</v>
      </c>
    </row>
    <row r="13" spans="1:11" s="12" customFormat="1" ht="12">
      <c r="A13" s="13" t="s">
        <v>11</v>
      </c>
      <c r="B13" s="8" t="s">
        <v>12</v>
      </c>
      <c r="C13" s="8" t="s">
        <v>13</v>
      </c>
      <c r="D13" s="8" t="s">
        <v>14</v>
      </c>
      <c r="E13" s="14" t="s">
        <v>15</v>
      </c>
      <c r="F13" s="8" t="s">
        <v>16</v>
      </c>
      <c r="G13" s="15"/>
      <c r="H13" s="8" t="s">
        <v>17</v>
      </c>
      <c r="I13" s="8" t="s">
        <v>18</v>
      </c>
      <c r="J13" s="8" t="s">
        <v>19</v>
      </c>
      <c r="K13" s="8" t="s">
        <v>85</v>
      </c>
    </row>
    <row r="15" spans="1:11" ht="12.75">
      <c r="A15" s="3">
        <v>38443</v>
      </c>
      <c r="B15" s="16">
        <v>0</v>
      </c>
      <c r="C15" s="16">
        <f aca="true" t="shared" si="0" ref="C15:C26">B15-D15</f>
        <v>0</v>
      </c>
      <c r="D15" s="16">
        <v>0</v>
      </c>
      <c r="E15" s="17">
        <v>0</v>
      </c>
      <c r="F15" s="16">
        <v>0</v>
      </c>
      <c r="H15" s="16">
        <f aca="true" t="shared" si="1" ref="H15:H26">D15*0.5</f>
        <v>0</v>
      </c>
      <c r="I15" s="16">
        <f aca="true" t="shared" si="2" ref="I15:I26">D15*0.32</f>
        <v>0</v>
      </c>
      <c r="J15" s="16">
        <f aca="true" t="shared" si="3" ref="J15:J26">D15*0.08</f>
        <v>0</v>
      </c>
      <c r="K15" s="16">
        <f aca="true" t="shared" si="4" ref="K15:K26">D15*0.1</f>
        <v>0</v>
      </c>
    </row>
    <row r="16" spans="1:11" ht="12.75">
      <c r="A16" s="3">
        <v>38473</v>
      </c>
      <c r="B16" s="16">
        <v>16816198.63</v>
      </c>
      <c r="C16" s="16">
        <f t="shared" si="0"/>
        <v>15455233.899999999</v>
      </c>
      <c r="D16" s="16">
        <v>1360964.73</v>
      </c>
      <c r="E16" s="17">
        <f>8204/14</f>
        <v>586</v>
      </c>
      <c r="F16" s="16">
        <v>165.8903863968796</v>
      </c>
      <c r="H16" s="16">
        <f t="shared" si="1"/>
        <v>680482.365</v>
      </c>
      <c r="I16" s="16">
        <f t="shared" si="2"/>
        <v>435508.7136</v>
      </c>
      <c r="J16" s="16">
        <f t="shared" si="3"/>
        <v>108877.1784</v>
      </c>
      <c r="K16" s="16">
        <f t="shared" si="4"/>
        <v>136096.473</v>
      </c>
    </row>
    <row r="17" spans="1:11" ht="12.75">
      <c r="A17" s="3">
        <v>38504</v>
      </c>
      <c r="B17" s="16">
        <v>22916797.419999998</v>
      </c>
      <c r="C17" s="16">
        <f t="shared" si="0"/>
        <v>21017782.459999997</v>
      </c>
      <c r="D17" s="16">
        <v>1899014.96</v>
      </c>
      <c r="E17" s="17">
        <f>17580/30</f>
        <v>586</v>
      </c>
      <c r="F17" s="16">
        <v>108.02132878270761</v>
      </c>
      <c r="H17" s="16">
        <f t="shared" si="1"/>
        <v>949507.48</v>
      </c>
      <c r="I17" s="16">
        <f t="shared" si="2"/>
        <v>607684.7872</v>
      </c>
      <c r="J17" s="16">
        <f t="shared" si="3"/>
        <v>151921.1968</v>
      </c>
      <c r="K17" s="16">
        <f t="shared" si="4"/>
        <v>189901.496</v>
      </c>
    </row>
    <row r="18" spans="1:11" ht="12.75">
      <c r="A18" s="3">
        <v>38534</v>
      </c>
      <c r="B18" s="16">
        <v>25804603.61</v>
      </c>
      <c r="C18" s="16">
        <f t="shared" si="0"/>
        <v>23734027.47</v>
      </c>
      <c r="D18" s="16">
        <v>2070576.14</v>
      </c>
      <c r="E18" s="17">
        <f>18166/31</f>
        <v>586</v>
      </c>
      <c r="F18" s="16">
        <v>113.98085104040517</v>
      </c>
      <c r="H18" s="16">
        <f t="shared" si="1"/>
        <v>1035288.07</v>
      </c>
      <c r="I18" s="16">
        <f t="shared" si="2"/>
        <v>662584.3648</v>
      </c>
      <c r="J18" s="16">
        <f t="shared" si="3"/>
        <v>165646.0912</v>
      </c>
      <c r="K18" s="16">
        <f t="shared" si="4"/>
        <v>207057.614</v>
      </c>
    </row>
    <row r="19" spans="1:11" ht="12.75">
      <c r="A19" s="3">
        <v>38565</v>
      </c>
      <c r="B19" s="16">
        <v>27177920.37000001</v>
      </c>
      <c r="C19" s="16">
        <f t="shared" si="0"/>
        <v>25019456.65000001</v>
      </c>
      <c r="D19" s="16">
        <v>2158463.72</v>
      </c>
      <c r="E19" s="17">
        <f>18166/31</f>
        <v>586</v>
      </c>
      <c r="F19" s="16">
        <v>118.81887702301</v>
      </c>
      <c r="H19" s="16">
        <f t="shared" si="1"/>
        <v>1079231.86</v>
      </c>
      <c r="I19" s="16">
        <f t="shared" si="2"/>
        <v>690708.3904</v>
      </c>
      <c r="J19" s="16">
        <f t="shared" si="3"/>
        <v>172677.0976</v>
      </c>
      <c r="K19" s="16">
        <f t="shared" si="4"/>
        <v>215846.37200000003</v>
      </c>
    </row>
    <row r="20" spans="1:11" ht="12.75">
      <c r="A20" s="3">
        <v>38596</v>
      </c>
      <c r="B20" s="16">
        <v>24787550.779999994</v>
      </c>
      <c r="C20" s="16">
        <f t="shared" si="0"/>
        <v>22811252.029999994</v>
      </c>
      <c r="D20" s="16">
        <v>1976298.75</v>
      </c>
      <c r="E20" s="17">
        <f>17580/30</f>
        <v>586</v>
      </c>
      <c r="F20" s="16">
        <v>112.41744880546078</v>
      </c>
      <c r="H20" s="16">
        <f t="shared" si="1"/>
        <v>988149.375</v>
      </c>
      <c r="I20" s="16">
        <f t="shared" si="2"/>
        <v>632415.6</v>
      </c>
      <c r="J20" s="16">
        <f t="shared" si="3"/>
        <v>158103.9</v>
      </c>
      <c r="K20" s="16">
        <f t="shared" si="4"/>
        <v>197629.875</v>
      </c>
    </row>
    <row r="21" spans="1:11" ht="12.75">
      <c r="A21" s="3">
        <v>38626</v>
      </c>
      <c r="B21" s="16">
        <v>24214613.709999997</v>
      </c>
      <c r="C21" s="16">
        <f t="shared" si="0"/>
        <v>22251948.889999997</v>
      </c>
      <c r="D21" s="16">
        <v>1962664.82</v>
      </c>
      <c r="E21" s="17">
        <f>18166/31</f>
        <v>586</v>
      </c>
      <c r="F21" s="16">
        <v>108.04056038753716</v>
      </c>
      <c r="H21" s="16">
        <f t="shared" si="1"/>
        <v>981332.41</v>
      </c>
      <c r="I21" s="16">
        <f t="shared" si="2"/>
        <v>628052.7424</v>
      </c>
      <c r="J21" s="16">
        <f t="shared" si="3"/>
        <v>157013.1856</v>
      </c>
      <c r="K21" s="16">
        <f t="shared" si="4"/>
        <v>196266.48200000002</v>
      </c>
    </row>
    <row r="22" spans="1:11" ht="12.75">
      <c r="A22" s="3">
        <v>38657</v>
      </c>
      <c r="B22" s="16">
        <v>20912018.749999996</v>
      </c>
      <c r="C22" s="16">
        <f t="shared" si="0"/>
        <v>19172471.739999995</v>
      </c>
      <c r="D22" s="16">
        <v>1739547.01</v>
      </c>
      <c r="E22" s="17">
        <f>17580/30</f>
        <v>586</v>
      </c>
      <c r="F22" s="16">
        <v>98.95034186575657</v>
      </c>
      <c r="H22" s="16">
        <f t="shared" si="1"/>
        <v>869773.505</v>
      </c>
      <c r="I22" s="16">
        <f t="shared" si="2"/>
        <v>556655.0432</v>
      </c>
      <c r="J22" s="16">
        <f t="shared" si="3"/>
        <v>139163.7608</v>
      </c>
      <c r="K22" s="16">
        <f t="shared" si="4"/>
        <v>173954.701</v>
      </c>
    </row>
    <row r="23" spans="1:11" ht="12.75">
      <c r="A23" s="3">
        <v>38687</v>
      </c>
      <c r="B23" s="16">
        <v>18265849.859999996</v>
      </c>
      <c r="C23" s="16">
        <f t="shared" si="0"/>
        <v>16753592.899999995</v>
      </c>
      <c r="D23" s="16">
        <v>1512256.96</v>
      </c>
      <c r="E23" s="17">
        <f>18166/31</f>
        <v>586</v>
      </c>
      <c r="F23" s="16">
        <v>83.24655730485522</v>
      </c>
      <c r="H23" s="16">
        <f t="shared" si="1"/>
        <v>756128.48</v>
      </c>
      <c r="I23" s="16">
        <f t="shared" si="2"/>
        <v>483922.2272</v>
      </c>
      <c r="J23" s="16">
        <f t="shared" si="3"/>
        <v>120980.5568</v>
      </c>
      <c r="K23" s="16">
        <f t="shared" si="4"/>
        <v>151225.696</v>
      </c>
    </row>
    <row r="24" spans="1:11" ht="12.75">
      <c r="A24" s="3">
        <v>38718</v>
      </c>
      <c r="B24" s="16">
        <v>20235509.259999998</v>
      </c>
      <c r="C24" s="16">
        <f t="shared" si="0"/>
        <v>18544628.38</v>
      </c>
      <c r="D24" s="16">
        <v>1690880.88</v>
      </c>
      <c r="E24" s="17">
        <f>18166/31</f>
        <v>586</v>
      </c>
      <c r="F24" s="16">
        <v>93.07942750192669</v>
      </c>
      <c r="H24" s="16">
        <f t="shared" si="1"/>
        <v>845440.44</v>
      </c>
      <c r="I24" s="16">
        <f t="shared" si="2"/>
        <v>541081.8816</v>
      </c>
      <c r="J24" s="16">
        <f t="shared" si="3"/>
        <v>135270.4704</v>
      </c>
      <c r="K24" s="16">
        <f t="shared" si="4"/>
        <v>169088.088</v>
      </c>
    </row>
    <row r="25" spans="1:11" ht="12.75">
      <c r="A25" s="3">
        <v>38749</v>
      </c>
      <c r="B25" s="16">
        <v>20093140.229999997</v>
      </c>
      <c r="C25" s="16">
        <f t="shared" si="0"/>
        <v>18428361.889999997</v>
      </c>
      <c r="D25" s="16">
        <v>1664778.34</v>
      </c>
      <c r="E25" s="17">
        <f>16408/28</f>
        <v>586</v>
      </c>
      <c r="F25" s="16">
        <v>101.46138103364214</v>
      </c>
      <c r="H25" s="16">
        <f t="shared" si="1"/>
        <v>832389.17</v>
      </c>
      <c r="I25" s="16">
        <f t="shared" si="2"/>
        <v>532729.0688</v>
      </c>
      <c r="J25" s="16">
        <f t="shared" si="3"/>
        <v>133182.2672</v>
      </c>
      <c r="K25" s="16">
        <f t="shared" si="4"/>
        <v>166477.83400000003</v>
      </c>
    </row>
    <row r="26" spans="1:11" ht="12.75">
      <c r="A26" s="3">
        <v>38777</v>
      </c>
      <c r="B26" s="16">
        <v>28551572.15</v>
      </c>
      <c r="C26" s="16">
        <f t="shared" si="0"/>
        <v>26243720.34</v>
      </c>
      <c r="D26" s="16">
        <v>2307851.81</v>
      </c>
      <c r="E26" s="17">
        <f>18166/31</f>
        <v>586</v>
      </c>
      <c r="F26" s="16">
        <v>127.04237641748317</v>
      </c>
      <c r="H26" s="16">
        <f t="shared" si="1"/>
        <v>1153925.905</v>
      </c>
      <c r="I26" s="16">
        <f t="shared" si="2"/>
        <v>738512.5792</v>
      </c>
      <c r="J26" s="16">
        <f t="shared" si="3"/>
        <v>184628.1448</v>
      </c>
      <c r="K26" s="16">
        <f t="shared" si="4"/>
        <v>230785.181</v>
      </c>
    </row>
    <row r="27" spans="1:11" ht="13.5" thickBot="1">
      <c r="A27" s="3" t="s">
        <v>20</v>
      </c>
      <c r="B27" s="18">
        <f>SUM(B15:B26)</f>
        <v>249775774.76999998</v>
      </c>
      <c r="C27" s="18">
        <f>SUM(C15:C26)</f>
        <v>229432476.64999998</v>
      </c>
      <c r="D27" s="18">
        <f>SUM(D15:D26)</f>
        <v>20343298.119999997</v>
      </c>
      <c r="H27" s="18">
        <f>SUM(H15:H26)</f>
        <v>10171649.059999999</v>
      </c>
      <c r="I27" s="18">
        <f>SUM(I15:I26)</f>
        <v>6509855.398399999</v>
      </c>
      <c r="J27" s="18">
        <f>SUM(J15:J26)</f>
        <v>1627463.8495999998</v>
      </c>
      <c r="K27" s="18">
        <f>SUM(K15:K26)</f>
        <v>2034329.8120000004</v>
      </c>
    </row>
    <row r="28" spans="2:11" ht="10.5" customHeight="1" thickTop="1">
      <c r="B28" s="19"/>
      <c r="C28" s="19"/>
      <c r="D28" s="19"/>
      <c r="H28" s="19"/>
      <c r="I28" s="19"/>
      <c r="J28" s="19"/>
      <c r="K28" s="19"/>
    </row>
    <row r="29" spans="1:11" s="22" customFormat="1" ht="12.75">
      <c r="A29" s="20"/>
      <c r="B29" s="21"/>
      <c r="C29" s="21">
        <f>C27/B27</f>
        <v>0.9185537583108985</v>
      </c>
      <c r="D29" s="21">
        <f>D27/B27</f>
        <v>0.08144624168910149</v>
      </c>
      <c r="H29" s="21">
        <f>H27/$D$27</f>
        <v>0.5</v>
      </c>
      <c r="I29" s="21">
        <f>I27/$D$27</f>
        <v>0.32</v>
      </c>
      <c r="J29" s="21">
        <f>J27/$D$27</f>
        <v>0.08</v>
      </c>
      <c r="K29" s="21">
        <f>K27/$D$27</f>
        <v>0.10000000000000003</v>
      </c>
    </row>
    <row r="31" spans="1:11" s="23" customFormat="1" ht="12.75">
      <c r="A31" s="129" t="s">
        <v>21</v>
      </c>
      <c r="B31" s="130"/>
      <c r="C31" s="130"/>
      <c r="D31" s="130"/>
      <c r="E31" s="130"/>
      <c r="F31" s="130"/>
      <c r="G31" s="130"/>
      <c r="H31" s="130"/>
      <c r="I31" s="130"/>
      <c r="J31" s="130"/>
      <c r="K31" s="131"/>
    </row>
    <row r="32" ht="12.75">
      <c r="A32" s="24"/>
    </row>
    <row r="33" spans="1:12" s="49" customFormat="1" ht="12.75" customHeight="1">
      <c r="A33" s="45" t="s">
        <v>22</v>
      </c>
      <c r="B33" s="46"/>
      <c r="C33" s="57" t="s">
        <v>94</v>
      </c>
      <c r="D33" s="58"/>
      <c r="E33" s="58"/>
      <c r="F33" s="58"/>
      <c r="G33" s="58"/>
      <c r="H33" s="58"/>
      <c r="I33" s="58"/>
      <c r="J33" s="58"/>
      <c r="K33" s="58"/>
      <c r="L33" s="58"/>
    </row>
    <row r="34" spans="1:12" s="49" customFormat="1" ht="12.75" customHeight="1">
      <c r="A34" s="45"/>
      <c r="B34" s="46"/>
      <c r="C34" s="57" t="s">
        <v>95</v>
      </c>
      <c r="D34" s="58"/>
      <c r="E34" s="58"/>
      <c r="F34" s="58"/>
      <c r="G34" s="58"/>
      <c r="H34" s="58"/>
      <c r="I34" s="58"/>
      <c r="J34" s="58"/>
      <c r="K34" s="58"/>
      <c r="L34" s="58"/>
    </row>
    <row r="35" spans="1:11" ht="6" customHeight="1">
      <c r="A35" s="25"/>
      <c r="B35" s="26"/>
      <c r="C35" s="26"/>
      <c r="E35" s="26"/>
      <c r="F35" s="26"/>
      <c r="G35" s="26"/>
      <c r="H35" s="26"/>
      <c r="I35" s="26"/>
      <c r="J35" s="26"/>
      <c r="K35" s="26"/>
    </row>
    <row r="36" spans="1:11" ht="12.75">
      <c r="A36" s="25" t="s">
        <v>23</v>
      </c>
      <c r="B36" s="26"/>
      <c r="C36" s="26" t="s">
        <v>24</v>
      </c>
      <c r="E36" s="26"/>
      <c r="F36" s="26"/>
      <c r="G36" s="26"/>
      <c r="H36" s="26"/>
      <c r="I36" s="26"/>
      <c r="J36" s="26"/>
      <c r="K36" s="26"/>
    </row>
    <row r="37" spans="1:11" ht="6" customHeight="1">
      <c r="A37" s="25"/>
      <c r="B37" s="26"/>
      <c r="C37" s="26"/>
      <c r="E37" s="26"/>
      <c r="F37" s="26"/>
      <c r="G37" s="26"/>
      <c r="H37" s="26"/>
      <c r="I37" s="26"/>
      <c r="J37" s="26"/>
      <c r="K37" s="26"/>
    </row>
    <row r="38" spans="1:11" ht="12.75">
      <c r="A38" s="25" t="s">
        <v>25</v>
      </c>
      <c r="B38" s="26"/>
      <c r="C38" s="26" t="s">
        <v>26</v>
      </c>
      <c r="E38" s="27"/>
      <c r="F38" s="26"/>
      <c r="G38" s="26"/>
      <c r="H38" s="26"/>
      <c r="I38" s="26"/>
      <c r="J38" s="26"/>
      <c r="K38" s="26"/>
    </row>
    <row r="39" spans="1:11" ht="12.75">
      <c r="A39" s="25"/>
      <c r="B39" s="26"/>
      <c r="C39" s="26" t="s">
        <v>27</v>
      </c>
      <c r="E39" s="27"/>
      <c r="F39" s="26"/>
      <c r="G39" s="26"/>
      <c r="H39" s="26"/>
      <c r="I39" s="26"/>
      <c r="J39" s="26"/>
      <c r="K39" s="26"/>
    </row>
    <row r="40" spans="1:11" ht="6" customHeight="1">
      <c r="A40" s="25"/>
      <c r="B40" s="26"/>
      <c r="C40" s="26"/>
      <c r="E40" s="27"/>
      <c r="F40" s="26"/>
      <c r="G40" s="26"/>
      <c r="H40" s="26"/>
      <c r="I40" s="26"/>
      <c r="J40" s="26"/>
      <c r="K40" s="26"/>
    </row>
    <row r="41" spans="1:11" ht="12.75">
      <c r="A41" s="25" t="s">
        <v>28</v>
      </c>
      <c r="B41" s="26"/>
      <c r="C41" s="26" t="s">
        <v>29</v>
      </c>
      <c r="E41" s="27"/>
      <c r="F41" s="26"/>
      <c r="G41" s="26"/>
      <c r="H41" s="26"/>
      <c r="I41" s="26"/>
      <c r="J41" s="26"/>
      <c r="K41" s="26"/>
    </row>
    <row r="42" spans="1:11" ht="6" customHeight="1">
      <c r="A42" s="25"/>
      <c r="B42" s="26"/>
      <c r="C42" s="26"/>
      <c r="E42" s="27"/>
      <c r="F42" s="26"/>
      <c r="G42" s="26"/>
      <c r="H42" s="26"/>
      <c r="I42" s="26"/>
      <c r="J42" s="26"/>
      <c r="K42" s="26"/>
    </row>
    <row r="43" spans="1:12" s="49" customFormat="1" ht="12.75">
      <c r="A43" s="45" t="s">
        <v>74</v>
      </c>
      <c r="B43" s="46"/>
      <c r="C43" s="46" t="s">
        <v>75</v>
      </c>
      <c r="D43" s="47"/>
      <c r="E43" s="48"/>
      <c r="F43" s="46"/>
      <c r="G43" s="46"/>
      <c r="H43" s="46"/>
      <c r="I43" s="46"/>
      <c r="J43" s="46"/>
      <c r="K43" s="46"/>
      <c r="L43" s="46"/>
    </row>
    <row r="44" spans="1:12" s="49" customFormat="1" ht="12.75">
      <c r="A44" s="45"/>
      <c r="B44" s="46"/>
      <c r="C44" s="46" t="s">
        <v>81</v>
      </c>
      <c r="D44" s="47"/>
      <c r="E44" s="48"/>
      <c r="F44" s="46"/>
      <c r="G44" s="46"/>
      <c r="H44" s="46"/>
      <c r="I44" s="46"/>
      <c r="J44" s="46"/>
      <c r="K44" s="46"/>
      <c r="L44" s="46"/>
    </row>
    <row r="45" spans="1:12" s="49" customFormat="1" ht="12.75">
      <c r="A45" s="45"/>
      <c r="B45" s="46"/>
      <c r="C45" s="46" t="s">
        <v>82</v>
      </c>
      <c r="D45" s="47"/>
      <c r="E45" s="48"/>
      <c r="F45" s="46"/>
      <c r="G45" s="46"/>
      <c r="H45" s="46"/>
      <c r="I45" s="46"/>
      <c r="J45" s="46"/>
      <c r="K45" s="46"/>
      <c r="L45" s="46"/>
    </row>
    <row r="46" spans="1:11" ht="6" customHeight="1">
      <c r="A46" s="25"/>
      <c r="B46" s="26"/>
      <c r="C46" s="26"/>
      <c r="E46" s="27"/>
      <c r="F46" s="26"/>
      <c r="G46" s="26"/>
      <c r="H46" s="26"/>
      <c r="I46" s="26"/>
      <c r="J46" s="26"/>
      <c r="K46" s="26"/>
    </row>
    <row r="47" spans="1:12" s="49" customFormat="1" ht="12.75">
      <c r="A47" s="45" t="s">
        <v>30</v>
      </c>
      <c r="B47" s="46"/>
      <c r="C47" s="46" t="s">
        <v>76</v>
      </c>
      <c r="D47" s="47"/>
      <c r="E47" s="48"/>
      <c r="F47" s="46"/>
      <c r="G47" s="46"/>
      <c r="H47" s="46"/>
      <c r="I47" s="46"/>
      <c r="J47" s="46"/>
      <c r="K47" s="46"/>
      <c r="L47" s="46"/>
    </row>
    <row r="48" spans="1:12" s="49" customFormat="1" ht="12.75">
      <c r="A48" s="45"/>
      <c r="B48" s="46"/>
      <c r="C48" s="46" t="s">
        <v>77</v>
      </c>
      <c r="D48" s="47"/>
      <c r="E48" s="48"/>
      <c r="F48" s="46"/>
      <c r="G48" s="46"/>
      <c r="H48" s="46"/>
      <c r="I48" s="46"/>
      <c r="J48" s="46"/>
      <c r="K48" s="46"/>
      <c r="L48" s="46"/>
    </row>
    <row r="49" spans="1:11" ht="6" customHeight="1">
      <c r="A49" s="25"/>
      <c r="B49" s="26"/>
      <c r="C49" s="26"/>
      <c r="E49" s="27"/>
      <c r="F49" s="26"/>
      <c r="G49" s="26"/>
      <c r="H49" s="26"/>
      <c r="I49" s="26"/>
      <c r="J49" s="26"/>
      <c r="K49" s="26"/>
    </row>
    <row r="50" spans="1:12" s="49" customFormat="1" ht="12.75">
      <c r="A50" s="45" t="s">
        <v>86</v>
      </c>
      <c r="B50" s="46"/>
      <c r="C50" s="46" t="s">
        <v>79</v>
      </c>
      <c r="D50" s="47"/>
      <c r="E50" s="48"/>
      <c r="F50" s="46"/>
      <c r="G50" s="46"/>
      <c r="H50" s="46"/>
      <c r="I50" s="46"/>
      <c r="J50" s="46"/>
      <c r="K50" s="46"/>
      <c r="L50" s="46"/>
    </row>
    <row r="51" spans="1:12" s="49" customFormat="1" ht="12.75">
      <c r="A51" s="50"/>
      <c r="B51" s="46"/>
      <c r="C51" s="46" t="s">
        <v>80</v>
      </c>
      <c r="D51" s="47"/>
      <c r="E51" s="48"/>
      <c r="F51" s="46"/>
      <c r="G51" s="46"/>
      <c r="H51" s="46"/>
      <c r="I51" s="46"/>
      <c r="J51" s="46"/>
      <c r="K51" s="46"/>
      <c r="L51" s="46"/>
    </row>
    <row r="52" spans="1:11" ht="12.75">
      <c r="A52" s="29"/>
      <c r="B52" s="30"/>
      <c r="C52" s="30"/>
      <c r="D52" s="30"/>
      <c r="E52" s="31"/>
      <c r="F52" s="30"/>
      <c r="G52" s="30"/>
      <c r="H52" s="30"/>
      <c r="I52" s="30"/>
      <c r="J52" s="30"/>
      <c r="K52" s="30"/>
    </row>
    <row r="53" spans="1:11" s="23" customFormat="1" ht="12.75">
      <c r="A53" s="129" t="s">
        <v>31</v>
      </c>
      <c r="B53" s="130"/>
      <c r="C53" s="130"/>
      <c r="D53" s="130"/>
      <c r="E53" s="130"/>
      <c r="F53" s="130"/>
      <c r="G53" s="130"/>
      <c r="H53" s="130"/>
      <c r="I53" s="130"/>
      <c r="J53" s="130"/>
      <c r="K53" s="131"/>
    </row>
    <row r="54" ht="12.75">
      <c r="A54" s="24"/>
    </row>
    <row r="55" spans="1:11" ht="13.5">
      <c r="A55" s="32"/>
      <c r="F55" s="10" t="s">
        <v>9</v>
      </c>
      <c r="G55" s="33"/>
      <c r="H55" s="10" t="s">
        <v>83</v>
      </c>
      <c r="I55" s="10" t="s">
        <v>10</v>
      </c>
      <c r="J55" s="51" t="s">
        <v>84</v>
      </c>
      <c r="K55" s="34"/>
    </row>
    <row r="56" spans="1:11" ht="12.75">
      <c r="A56" s="35"/>
      <c r="F56" s="8" t="s">
        <v>17</v>
      </c>
      <c r="G56" s="36"/>
      <c r="H56" s="8" t="s">
        <v>18</v>
      </c>
      <c r="I56" s="8" t="s">
        <v>19</v>
      </c>
      <c r="J56" s="52" t="s">
        <v>85</v>
      </c>
      <c r="K56" s="34"/>
    </row>
    <row r="57" spans="1:11" ht="12.75">
      <c r="A57" s="35"/>
      <c r="B57" s="37" t="s">
        <v>32</v>
      </c>
      <c r="F57" s="15"/>
      <c r="G57" s="38"/>
      <c r="H57" s="15"/>
      <c r="I57" s="15"/>
      <c r="J57" s="15"/>
      <c r="K57" s="34"/>
    </row>
    <row r="58" spans="1:11" ht="12.75">
      <c r="A58" s="35"/>
      <c r="B58" s="39" t="s">
        <v>33</v>
      </c>
      <c r="C58" s="39"/>
      <c r="D58" s="26"/>
      <c r="E58" s="27"/>
      <c r="F58" s="40">
        <v>0.61</v>
      </c>
      <c r="G58" s="26"/>
      <c r="H58" s="40">
        <v>0.29</v>
      </c>
      <c r="I58" s="40">
        <v>0</v>
      </c>
      <c r="J58" s="40">
        <v>0.1</v>
      </c>
      <c r="K58" s="34"/>
    </row>
    <row r="59" spans="1:11" ht="12.75">
      <c r="A59" s="35"/>
      <c r="F59" s="15"/>
      <c r="G59" s="38"/>
      <c r="H59" s="15"/>
      <c r="I59" s="15"/>
      <c r="J59" s="15"/>
      <c r="K59" s="34"/>
    </row>
    <row r="60" spans="1:11" ht="12.75">
      <c r="A60" s="35"/>
      <c r="B60" s="37" t="s">
        <v>34</v>
      </c>
      <c r="F60" s="15"/>
      <c r="G60" s="38"/>
      <c r="H60" s="15"/>
      <c r="I60" s="15"/>
      <c r="J60" s="15"/>
      <c r="K60" s="34"/>
    </row>
    <row r="61" spans="2:11" ht="12.75">
      <c r="B61" s="39" t="s">
        <v>35</v>
      </c>
      <c r="C61" s="39"/>
      <c r="D61" s="26"/>
      <c r="E61" s="27"/>
      <c r="F61" s="40">
        <v>0.5</v>
      </c>
      <c r="G61" s="26"/>
      <c r="H61" s="40">
        <v>0.32</v>
      </c>
      <c r="I61" s="40">
        <v>0.08</v>
      </c>
      <c r="J61" s="40">
        <v>0.1</v>
      </c>
      <c r="K61" s="41"/>
    </row>
    <row r="62" spans="2:11" ht="12.75">
      <c r="B62" s="39" t="s">
        <v>36</v>
      </c>
      <c r="C62" s="39"/>
      <c r="D62" s="26"/>
      <c r="E62" s="27"/>
      <c r="F62" s="40">
        <v>0.53</v>
      </c>
      <c r="G62" s="26"/>
      <c r="H62" s="40">
        <v>0.29</v>
      </c>
      <c r="I62" s="40">
        <v>0.08</v>
      </c>
      <c r="J62" s="40">
        <v>0.1</v>
      </c>
      <c r="K62" s="41"/>
    </row>
    <row r="63" spans="2:11" ht="12.75">
      <c r="B63" s="39" t="s">
        <v>37</v>
      </c>
      <c r="C63" s="39"/>
      <c r="D63" s="26"/>
      <c r="E63" s="27"/>
      <c r="F63" s="40">
        <v>0.56</v>
      </c>
      <c r="G63" s="26"/>
      <c r="H63" s="40">
        <v>0.29</v>
      </c>
      <c r="I63" s="40">
        <v>0.05</v>
      </c>
      <c r="J63" s="40">
        <v>0.1</v>
      </c>
      <c r="K63" s="41"/>
    </row>
    <row r="64" spans="2:11" ht="12.75">
      <c r="B64" s="39" t="s">
        <v>38</v>
      </c>
      <c r="C64" s="39"/>
      <c r="D64" s="26"/>
      <c r="E64" s="27"/>
      <c r="F64" s="40">
        <v>0.59</v>
      </c>
      <c r="G64" s="26"/>
      <c r="H64" s="40">
        <v>0.26</v>
      </c>
      <c r="I64" s="40">
        <v>0.05</v>
      </c>
      <c r="J64" s="40">
        <v>0.1</v>
      </c>
      <c r="K64" s="41"/>
    </row>
    <row r="65" spans="2:11" ht="12.75">
      <c r="B65" s="39"/>
      <c r="C65" s="39"/>
      <c r="D65" s="26"/>
      <c r="E65" s="27"/>
      <c r="F65" s="40"/>
      <c r="G65" s="26"/>
      <c r="H65" s="40"/>
      <c r="I65" s="40"/>
      <c r="J65" s="40"/>
      <c r="K65" s="41"/>
    </row>
    <row r="66" ht="12.75">
      <c r="D66" s="16" t="s">
        <v>39</v>
      </c>
    </row>
    <row r="68" ht="12.75">
      <c r="A68" s="24" t="s">
        <v>40</v>
      </c>
    </row>
  </sheetData>
  <sheetProtection/>
  <mergeCells count="9">
    <mergeCell ref="A53:K53"/>
    <mergeCell ref="H10:K10"/>
    <mergeCell ref="A8:K8"/>
    <mergeCell ref="A5:K5"/>
    <mergeCell ref="A1:K1"/>
    <mergeCell ref="A2:K2"/>
    <mergeCell ref="A3:K3"/>
    <mergeCell ref="A4:K4"/>
    <mergeCell ref="A31:K31"/>
  </mergeCells>
  <hyperlinks>
    <hyperlink ref="A4" r:id="rId1" display="www.batavia-downs.com"/>
  </hyperlinks>
  <printOptions horizontalCentered="1"/>
  <pageMargins left="0.25" right="0.25" top="0.5" bottom="0.5" header="0.5" footer="0.5"/>
  <pageSetup fitToHeight="1" fitToWidth="1" horizontalDpi="600" verticalDpi="600" orientation="portrait" scale="8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L70"/>
  <sheetViews>
    <sheetView zoomScalePageLayoutView="0" workbookViewId="0" topLeftCell="A1">
      <selection activeCell="G26" sqref="G26"/>
    </sheetView>
  </sheetViews>
  <sheetFormatPr defaultColWidth="9.140625" defaultRowHeight="12.75"/>
  <cols>
    <col min="1" max="1" width="9.28125" style="66" customWidth="1"/>
    <col min="2" max="2" width="16.00390625" style="64" customWidth="1"/>
    <col min="3" max="3" width="13.140625" style="64" customWidth="1"/>
    <col min="4" max="4" width="14.421875" style="64" bestFit="1" customWidth="1"/>
    <col min="5" max="5" width="12.7109375" style="64" customWidth="1"/>
    <col min="6" max="6" width="10.57421875" style="65" customWidth="1"/>
    <col min="7" max="7" width="10.57421875" style="64" customWidth="1"/>
    <col min="8" max="8" width="2.421875" style="64" customWidth="1"/>
    <col min="9" max="9" width="12.421875" style="64" customWidth="1"/>
    <col min="10" max="10" width="12.8515625" style="64" customWidth="1"/>
    <col min="11" max="11" width="13.7109375" style="64" customWidth="1"/>
    <col min="12" max="12" width="12.7109375" style="63" customWidth="1"/>
    <col min="13" max="16384" width="9.140625" style="63" customWidth="1"/>
  </cols>
  <sheetData>
    <row r="1" spans="1:11" ht="18">
      <c r="A1" s="122" t="s">
        <v>100</v>
      </c>
      <c r="B1" s="122"/>
      <c r="C1" s="122"/>
      <c r="D1" s="122"/>
      <c r="E1" s="122"/>
      <c r="F1" s="122"/>
      <c r="G1" s="122"/>
      <c r="H1" s="122"/>
      <c r="I1" s="122"/>
      <c r="J1" s="122"/>
      <c r="K1" s="122"/>
    </row>
    <row r="2" spans="1:11" ht="15">
      <c r="A2" s="123" t="s">
        <v>0</v>
      </c>
      <c r="B2" s="123"/>
      <c r="C2" s="123"/>
      <c r="D2" s="123"/>
      <c r="E2" s="123"/>
      <c r="F2" s="123"/>
      <c r="G2" s="123"/>
      <c r="H2" s="123"/>
      <c r="I2" s="123"/>
      <c r="J2" s="123"/>
      <c r="K2" s="123"/>
    </row>
    <row r="3" spans="1:11" s="101" customFormat="1" ht="15">
      <c r="A3" s="123" t="s">
        <v>1</v>
      </c>
      <c r="B3" s="123"/>
      <c r="C3" s="123"/>
      <c r="D3" s="123"/>
      <c r="E3" s="123"/>
      <c r="F3" s="123"/>
      <c r="G3" s="123"/>
      <c r="H3" s="123"/>
      <c r="I3" s="123"/>
      <c r="J3" s="123"/>
      <c r="K3" s="123"/>
    </row>
    <row r="4" spans="1:11" s="101" customFormat="1" ht="14.25">
      <c r="A4" s="124" t="s">
        <v>2</v>
      </c>
      <c r="B4" s="124"/>
      <c r="C4" s="124"/>
      <c r="D4" s="124"/>
      <c r="E4" s="124"/>
      <c r="F4" s="124"/>
      <c r="G4" s="124"/>
      <c r="H4" s="124"/>
      <c r="I4" s="124"/>
      <c r="J4" s="124"/>
      <c r="K4" s="124"/>
    </row>
    <row r="5" spans="1:11" s="101" customFormat="1" ht="14.25">
      <c r="A5" s="125" t="s">
        <v>3</v>
      </c>
      <c r="B5" s="125"/>
      <c r="C5" s="125"/>
      <c r="D5" s="125"/>
      <c r="E5" s="125"/>
      <c r="F5" s="125"/>
      <c r="G5" s="125"/>
      <c r="H5" s="125"/>
      <c r="I5" s="125"/>
      <c r="J5" s="125"/>
      <c r="K5" s="125"/>
    </row>
    <row r="6" spans="1:11" s="101" customFormat="1" ht="14.25">
      <c r="A6" s="106"/>
      <c r="B6" s="106"/>
      <c r="C6" s="106"/>
      <c r="D6" s="106"/>
      <c r="E6" s="106"/>
      <c r="F6" s="106"/>
      <c r="G6" s="106"/>
      <c r="H6" s="106"/>
      <c r="I6" s="106"/>
      <c r="J6" s="106"/>
      <c r="K6" s="106"/>
    </row>
    <row r="7" spans="1:11" s="101" customFormat="1" ht="12.75">
      <c r="A7" s="66"/>
      <c r="B7" s="104"/>
      <c r="C7" s="104"/>
      <c r="D7" s="104"/>
      <c r="E7" s="102"/>
      <c r="F7" s="103"/>
      <c r="G7" s="102"/>
      <c r="H7" s="102"/>
      <c r="I7" s="102"/>
      <c r="J7" s="102"/>
      <c r="K7" s="102"/>
    </row>
    <row r="8" spans="1:11" s="105" customFormat="1" ht="14.25" customHeight="1">
      <c r="A8" s="116" t="s">
        <v>126</v>
      </c>
      <c r="B8" s="117"/>
      <c r="C8" s="117"/>
      <c r="D8" s="117"/>
      <c r="E8" s="117"/>
      <c r="F8" s="117"/>
      <c r="G8" s="117"/>
      <c r="H8" s="117"/>
      <c r="I8" s="117"/>
      <c r="J8" s="117"/>
      <c r="K8" s="117"/>
    </row>
    <row r="9" spans="1:11" s="101" customFormat="1" ht="9" customHeight="1">
      <c r="A9" s="66"/>
      <c r="B9" s="104"/>
      <c r="C9" s="104"/>
      <c r="D9" s="104"/>
      <c r="E9" s="102"/>
      <c r="F9" s="103"/>
      <c r="G9" s="102"/>
      <c r="H9" s="102"/>
      <c r="I9" s="102"/>
      <c r="J9" s="102"/>
      <c r="K9" s="102"/>
    </row>
    <row r="10" spans="1:11" s="101" customFormat="1" ht="12.75">
      <c r="A10" s="66"/>
      <c r="B10" s="102"/>
      <c r="C10" s="102"/>
      <c r="D10" s="102"/>
      <c r="E10" s="102"/>
      <c r="F10" s="103"/>
      <c r="G10" s="102"/>
      <c r="H10" s="102"/>
      <c r="I10" s="115" t="s">
        <v>5</v>
      </c>
      <c r="J10" s="115"/>
      <c r="K10" s="115"/>
    </row>
    <row r="11" spans="1:11" s="101" customFormat="1" ht="12.75">
      <c r="A11" s="66"/>
      <c r="B11" s="102"/>
      <c r="C11" s="102"/>
      <c r="D11" s="102"/>
      <c r="E11" s="102"/>
      <c r="F11" s="103"/>
      <c r="G11" s="102"/>
      <c r="H11" s="102"/>
      <c r="I11" s="102"/>
      <c r="J11" s="102"/>
      <c r="K11" s="102"/>
    </row>
    <row r="12" spans="1:11" s="95" customFormat="1" ht="12">
      <c r="A12" s="100"/>
      <c r="B12" s="81" t="s">
        <v>6</v>
      </c>
      <c r="C12" s="81" t="s">
        <v>72</v>
      </c>
      <c r="D12" s="81" t="s">
        <v>6</v>
      </c>
      <c r="E12" s="81"/>
      <c r="F12" s="99" t="s">
        <v>7</v>
      </c>
      <c r="G12" s="81" t="s">
        <v>8</v>
      </c>
      <c r="H12" s="81"/>
      <c r="I12" s="81" t="s">
        <v>9</v>
      </c>
      <c r="J12" s="81" t="s">
        <v>84</v>
      </c>
      <c r="K12" s="81" t="s">
        <v>83</v>
      </c>
    </row>
    <row r="13" spans="1:11" s="95" customFormat="1" ht="12">
      <c r="A13" s="98" t="s">
        <v>11</v>
      </c>
      <c r="B13" s="77" t="s">
        <v>12</v>
      </c>
      <c r="C13" s="77" t="s">
        <v>19</v>
      </c>
      <c r="D13" s="77" t="s">
        <v>13</v>
      </c>
      <c r="E13" s="77" t="s">
        <v>14</v>
      </c>
      <c r="F13" s="97" t="s">
        <v>15</v>
      </c>
      <c r="G13" s="77" t="s">
        <v>16</v>
      </c>
      <c r="H13" s="96"/>
      <c r="I13" s="77" t="s">
        <v>17</v>
      </c>
      <c r="J13" s="77" t="s">
        <v>85</v>
      </c>
      <c r="K13" s="77" t="s">
        <v>18</v>
      </c>
    </row>
    <row r="15" spans="1:12" ht="12.75">
      <c r="A15" s="66">
        <v>44652</v>
      </c>
      <c r="B15" s="64">
        <v>98595660.72</v>
      </c>
      <c r="C15" s="64">
        <v>1090486.31</v>
      </c>
      <c r="D15" s="64">
        <f aca="true" t="shared" si="0" ref="D15:D26">IF(ISBLANK(B15),"",B15-C15-E15)</f>
        <v>90394840.25</v>
      </c>
      <c r="E15" s="64">
        <v>7110334.159999998</v>
      </c>
      <c r="F15" s="65">
        <v>879</v>
      </c>
      <c r="G15" s="64">
        <f>_xlfn.IFERROR((E15/F15/30)," ")</f>
        <v>269.63724535456953</v>
      </c>
      <c r="H15" s="107"/>
      <c r="I15" s="64">
        <v>2773030.3224</v>
      </c>
      <c r="J15" s="64">
        <v>711033.4299999999</v>
      </c>
      <c r="K15" s="64">
        <v>3626270.4216</v>
      </c>
      <c r="L15" s="65"/>
    </row>
    <row r="16" spans="1:12" ht="12.75">
      <c r="A16" s="66">
        <v>44682</v>
      </c>
      <c r="B16" s="64">
        <v>88883749.59</v>
      </c>
      <c r="C16" s="64">
        <v>930044.4900000002</v>
      </c>
      <c r="D16" s="64">
        <f t="shared" si="0"/>
        <v>81595058.08000001</v>
      </c>
      <c r="E16" s="64">
        <v>6358647.0200000005</v>
      </c>
      <c r="F16" s="65">
        <v>879</v>
      </c>
      <c r="G16" s="64">
        <f>_xlfn.IFERROR((E16/F16/31)," ")</f>
        <v>233.353408198466</v>
      </c>
      <c r="H16" s="107"/>
      <c r="I16" s="64">
        <v>2479872.3378</v>
      </c>
      <c r="J16" s="64">
        <v>635864.7399999999</v>
      </c>
      <c r="K16" s="64">
        <v>3242909.9802</v>
      </c>
      <c r="L16" s="65"/>
    </row>
    <row r="17" spans="1:12" ht="12.75">
      <c r="A17" s="66">
        <v>44713</v>
      </c>
      <c r="B17" s="64">
        <v>87756426.6</v>
      </c>
      <c r="C17" s="64">
        <v>932911.22</v>
      </c>
      <c r="D17" s="64">
        <f>IF(ISBLANK(B17),"",B17-C17-E17)</f>
        <v>80467392.38</v>
      </c>
      <c r="E17" s="64">
        <v>6356122.999999999</v>
      </c>
      <c r="F17" s="65">
        <v>900</v>
      </c>
      <c r="G17" s="64">
        <f aca="true" t="shared" si="1" ref="G17:G22">_xlfn.IFERROR((E17/F17/30)," ")</f>
        <v>235.41196296296295</v>
      </c>
      <c r="H17" s="107"/>
      <c r="I17" s="64">
        <v>2478887.97</v>
      </c>
      <c r="J17" s="64">
        <v>635612.3</v>
      </c>
      <c r="K17" s="64">
        <v>3241622.7300000014</v>
      </c>
      <c r="L17" s="65"/>
    </row>
    <row r="18" spans="1:12" ht="12.75">
      <c r="A18" s="66">
        <v>44743</v>
      </c>
      <c r="B18" s="64">
        <v>93464972.74</v>
      </c>
      <c r="C18" s="64">
        <v>1003102.88</v>
      </c>
      <c r="D18" s="64">
        <f>IF(ISBLANK(B18),"",B18-C18-E18)</f>
        <v>85716534.81</v>
      </c>
      <c r="E18" s="64">
        <v>6745335.05</v>
      </c>
      <c r="F18" s="65">
        <v>905</v>
      </c>
      <c r="G18" s="64">
        <f>_xlfn.IFERROR((E18/F18/31)," ")</f>
        <v>240.43254500089108</v>
      </c>
      <c r="H18" s="107"/>
      <c r="I18" s="64">
        <v>2630680.6695</v>
      </c>
      <c r="J18" s="64">
        <v>674533.5199999998</v>
      </c>
      <c r="K18" s="64">
        <v>3440120.8755</v>
      </c>
      <c r="L18" s="65"/>
    </row>
    <row r="19" spans="1:12" ht="12.75">
      <c r="A19" s="66">
        <v>44774</v>
      </c>
      <c r="B19" s="64">
        <v>88817342.82000001</v>
      </c>
      <c r="C19" s="64">
        <v>1037202.28</v>
      </c>
      <c r="D19" s="64">
        <f>IF(ISBLANK(B19),"",B19-C19-E19)</f>
        <v>81340889.2</v>
      </c>
      <c r="E19" s="64">
        <v>6439251.340000001</v>
      </c>
      <c r="F19" s="65">
        <v>905</v>
      </c>
      <c r="G19" s="64">
        <f>_xlfn.IFERROR((E19/F19/31)," ")</f>
        <v>229.52241454286226</v>
      </c>
      <c r="H19" s="107"/>
      <c r="I19" s="64">
        <v>2511308.0226000007</v>
      </c>
      <c r="J19" s="64">
        <v>643925.13</v>
      </c>
      <c r="K19" s="64">
        <v>3284018.1834000004</v>
      </c>
      <c r="L19" s="111"/>
    </row>
    <row r="20" spans="1:12" ht="12.75">
      <c r="A20" s="66">
        <v>44805</v>
      </c>
      <c r="B20" s="64">
        <v>86531240.16999999</v>
      </c>
      <c r="C20" s="64">
        <v>924102.29</v>
      </c>
      <c r="D20" s="64">
        <f t="shared" si="0"/>
        <v>79175745.87999998</v>
      </c>
      <c r="E20" s="64">
        <v>6431392.000000001</v>
      </c>
      <c r="F20" s="65">
        <v>905</v>
      </c>
      <c r="G20" s="64">
        <f t="shared" si="1"/>
        <v>236.88368324125233</v>
      </c>
      <c r="H20" s="107"/>
      <c r="I20" s="64">
        <v>2508242.8800000004</v>
      </c>
      <c r="J20" s="64">
        <v>643139.2000000001</v>
      </c>
      <c r="K20" s="64">
        <v>3280009.920000001</v>
      </c>
      <c r="L20" s="65"/>
    </row>
    <row r="21" spans="1:12" ht="12.75">
      <c r="A21" s="66">
        <v>44835</v>
      </c>
      <c r="B21" s="64">
        <v>87878232.80999997</v>
      </c>
      <c r="C21" s="64">
        <v>867232.4199999999</v>
      </c>
      <c r="D21" s="64">
        <f t="shared" si="0"/>
        <v>80390264.47999997</v>
      </c>
      <c r="E21" s="64">
        <v>6620735.909999999</v>
      </c>
      <c r="F21" s="65">
        <v>905</v>
      </c>
      <c r="G21" s="64">
        <f>_xlfn.IFERROR((E21/F21/31)," ")</f>
        <v>235.99129959009085</v>
      </c>
      <c r="H21" s="107"/>
      <c r="I21" s="64">
        <v>2582087.0049</v>
      </c>
      <c r="J21" s="64">
        <v>662073.6100000001</v>
      </c>
      <c r="K21" s="64">
        <v>3376575.3141000005</v>
      </c>
      <c r="L21" s="65"/>
    </row>
    <row r="22" spans="1:12" ht="12.75">
      <c r="A22" s="66">
        <v>44866</v>
      </c>
      <c r="B22" s="64">
        <v>77943732.32</v>
      </c>
      <c r="C22" s="64">
        <v>741983.35</v>
      </c>
      <c r="D22" s="64">
        <f t="shared" si="0"/>
        <v>71388791.28999999</v>
      </c>
      <c r="E22" s="64">
        <v>5812957.680000002</v>
      </c>
      <c r="F22" s="65">
        <v>905</v>
      </c>
      <c r="G22" s="64">
        <f t="shared" si="1"/>
        <v>214.10525524861885</v>
      </c>
      <c r="H22" s="107"/>
      <c r="I22" s="64">
        <v>2267053.4952000002</v>
      </c>
      <c r="J22" s="64">
        <v>581295.78</v>
      </c>
      <c r="K22" s="64">
        <v>2964608.4168</v>
      </c>
      <c r="L22" s="65"/>
    </row>
    <row r="23" spans="1:12" ht="12.75">
      <c r="A23" s="66">
        <v>44896</v>
      </c>
      <c r="B23" s="64">
        <v>77455686.17</v>
      </c>
      <c r="C23" s="64">
        <v>812614.7599999999</v>
      </c>
      <c r="D23" s="64">
        <f t="shared" si="0"/>
        <v>70661095.83999999</v>
      </c>
      <c r="E23" s="64">
        <v>5981975.570000001</v>
      </c>
      <c r="F23" s="65">
        <v>905</v>
      </c>
      <c r="G23" s="64">
        <f>_xlfn.IFERROR((E23/F23/31)," ")</f>
        <v>213.2231534485832</v>
      </c>
      <c r="H23" s="107"/>
      <c r="I23" s="64">
        <v>2332970.4723</v>
      </c>
      <c r="J23" s="64">
        <v>598197.5599999999</v>
      </c>
      <c r="K23" s="64">
        <v>3050807.5407000002</v>
      </c>
      <c r="L23" s="65"/>
    </row>
    <row r="24" spans="1:12" ht="12.75">
      <c r="A24" s="66">
        <v>44927</v>
      </c>
      <c r="B24" s="64">
        <v>85976052.57000002</v>
      </c>
      <c r="C24" s="64">
        <v>884308.3500000002</v>
      </c>
      <c r="D24" s="64">
        <f t="shared" si="0"/>
        <v>78460893.30000003</v>
      </c>
      <c r="E24" s="64">
        <v>6630850.920000001</v>
      </c>
      <c r="F24" s="65">
        <v>903</v>
      </c>
      <c r="G24" s="64">
        <f>_xlfn.IFERROR((E24/F24/31)," ")</f>
        <v>236.87532311649346</v>
      </c>
      <c r="H24" s="107"/>
      <c r="I24" s="64">
        <v>2586031.8588</v>
      </c>
      <c r="J24" s="64">
        <v>663085.13</v>
      </c>
      <c r="K24" s="64">
        <v>3381733.9691999997</v>
      </c>
      <c r="L24" s="65"/>
    </row>
    <row r="25" spans="1:12" ht="12.75">
      <c r="A25" s="66">
        <v>44958</v>
      </c>
      <c r="B25" s="64">
        <v>87589238.94999999</v>
      </c>
      <c r="C25" s="64">
        <v>867021.53</v>
      </c>
      <c r="D25" s="64">
        <f t="shared" si="0"/>
        <v>80088464.30999999</v>
      </c>
      <c r="E25" s="64">
        <v>6633753.11</v>
      </c>
      <c r="F25" s="65">
        <v>905</v>
      </c>
      <c r="G25" s="64">
        <f>_xlfn.IFERROR((E25/F25/28)," ")</f>
        <v>261.78978334648775</v>
      </c>
      <c r="H25" s="107"/>
      <c r="I25" s="64">
        <v>2587163.7129</v>
      </c>
      <c r="J25" s="64">
        <v>663375.34</v>
      </c>
      <c r="K25" s="64">
        <v>3383214.0861</v>
      </c>
      <c r="L25" s="65"/>
    </row>
    <row r="26" spans="1:12" ht="12.75">
      <c r="A26" s="66">
        <v>44986</v>
      </c>
      <c r="B26" s="64">
        <v>98848040.86999999</v>
      </c>
      <c r="C26" s="64">
        <v>938863.5999999999</v>
      </c>
      <c r="D26" s="64">
        <f t="shared" si="0"/>
        <v>90178112</v>
      </c>
      <c r="E26" s="64">
        <v>7731065.269999999</v>
      </c>
      <c r="F26" s="65">
        <v>907</v>
      </c>
      <c r="G26" s="64">
        <f>_xlfn.IFERROR((E26/F26/31)," ")</f>
        <v>274.96053170679653</v>
      </c>
      <c r="H26" s="107"/>
      <c r="I26" s="64">
        <v>3015115.4553</v>
      </c>
      <c r="J26" s="64">
        <v>773106.54</v>
      </c>
      <c r="K26" s="64">
        <v>3942843.2876999993</v>
      </c>
      <c r="L26" s="65"/>
    </row>
    <row r="27" spans="1:11" ht="13.5" thickBot="1">
      <c r="A27" s="94" t="s">
        <v>20</v>
      </c>
      <c r="B27" s="92">
        <f>SUM(B15:B26)</f>
        <v>1059740376.33</v>
      </c>
      <c r="C27" s="92">
        <f>SUM(C15:C26)</f>
        <v>11029873.479999999</v>
      </c>
      <c r="D27" s="92">
        <f>SUM(D15:D26)</f>
        <v>969858081.8199999</v>
      </c>
      <c r="E27" s="92">
        <f>SUM(E15:E26)</f>
        <v>78852421.03</v>
      </c>
      <c r="F27" s="62">
        <f>SUM(F15:F26)/COUNT(F15:F26)</f>
        <v>900.25</v>
      </c>
      <c r="G27" s="60">
        <f>AVERAGE(G15:G26)</f>
        <v>240.18221714650622</v>
      </c>
      <c r="H27" s="93"/>
      <c r="I27" s="92">
        <f>SUM(I15:I26)</f>
        <v>30752444.201700006</v>
      </c>
      <c r="J27" s="92">
        <f>SUM(J15:J26)</f>
        <v>7885242.279999999</v>
      </c>
      <c r="K27" s="92">
        <f>SUM(K15:K26)</f>
        <v>40214734.7253</v>
      </c>
    </row>
    <row r="28" spans="2:11" ht="10.5" customHeight="1" thickTop="1">
      <c r="B28" s="91"/>
      <c r="C28" s="91"/>
      <c r="D28" s="91"/>
      <c r="E28" s="91"/>
      <c r="I28" s="91"/>
      <c r="J28" s="91"/>
      <c r="K28" s="91"/>
    </row>
    <row r="29" spans="1:11" s="88" customFormat="1" ht="12.75">
      <c r="A29" s="90"/>
      <c r="B29" s="89"/>
      <c r="C29" s="89">
        <f>_xlfn.IFERROR(C27/B27,"")</f>
        <v>0.010408090251498853</v>
      </c>
      <c r="D29" s="89">
        <f>_xlfn.IFERROR(D27/B27,"")</f>
        <v>0.9151846088744183</v>
      </c>
      <c r="E29" s="89">
        <f>_xlfn.IFERROR(E27/B27,"")</f>
        <v>0.07440730087408276</v>
      </c>
      <c r="I29" s="89">
        <f>_xlfn.IFERROR(I27/$E$27,"")</f>
        <v>0.39000000000000007</v>
      </c>
      <c r="J29" s="89">
        <f>_xlfn.IFERROR(J27/$E$27,"")</f>
        <v>0.10000000224469961</v>
      </c>
      <c r="K29" s="89">
        <f>_xlfn.IFERROR(K27/$E$27,"")</f>
        <v>0.51</v>
      </c>
    </row>
    <row r="31" spans="1:11" s="69" customFormat="1" ht="12.75">
      <c r="A31" s="116" t="s">
        <v>21</v>
      </c>
      <c r="B31" s="117"/>
      <c r="C31" s="117"/>
      <c r="D31" s="117"/>
      <c r="E31" s="117"/>
      <c r="F31" s="117"/>
      <c r="G31" s="117"/>
      <c r="H31" s="117"/>
      <c r="I31" s="117"/>
      <c r="J31" s="117"/>
      <c r="K31" s="117"/>
    </row>
    <row r="32" ht="12.75">
      <c r="A32" s="68"/>
    </row>
    <row r="33" spans="1:11" s="49" customFormat="1" ht="12.75" customHeight="1">
      <c r="A33" s="45" t="s">
        <v>22</v>
      </c>
      <c r="B33" s="46"/>
      <c r="C33" s="57" t="s">
        <v>94</v>
      </c>
      <c r="D33" s="58"/>
      <c r="E33" s="58"/>
      <c r="F33" s="58"/>
      <c r="G33" s="58"/>
      <c r="H33" s="58"/>
      <c r="I33" s="58"/>
      <c r="J33" s="58"/>
      <c r="K33" s="58"/>
    </row>
    <row r="34" spans="1:11" s="49" customFormat="1" ht="12.75" customHeight="1">
      <c r="A34" s="45"/>
      <c r="B34" s="46"/>
      <c r="C34" s="57" t="s">
        <v>95</v>
      </c>
      <c r="D34" s="58"/>
      <c r="E34" s="58"/>
      <c r="F34" s="58"/>
      <c r="G34" s="58"/>
      <c r="H34" s="58"/>
      <c r="I34" s="58"/>
      <c r="J34" s="58"/>
      <c r="K34" s="58"/>
    </row>
    <row r="35" spans="1:11" ht="6" customHeight="1">
      <c r="A35" s="86"/>
      <c r="B35" s="71"/>
      <c r="C35" s="71"/>
      <c r="D35" s="87"/>
      <c r="E35" s="87"/>
      <c r="F35" s="87"/>
      <c r="G35" s="87"/>
      <c r="H35" s="87"/>
      <c r="I35" s="87"/>
      <c r="J35" s="87"/>
      <c r="K35" s="87"/>
    </row>
    <row r="36" spans="1:11" ht="12.75">
      <c r="A36" s="86" t="s">
        <v>97</v>
      </c>
      <c r="B36" s="71"/>
      <c r="C36" s="71" t="s">
        <v>87</v>
      </c>
      <c r="D36" s="71"/>
      <c r="E36" s="71"/>
      <c r="F36" s="71"/>
      <c r="G36" s="71"/>
      <c r="H36" s="71"/>
      <c r="I36" s="71"/>
      <c r="J36" s="71"/>
      <c r="K36" s="71"/>
    </row>
    <row r="37" spans="1:11" ht="6" customHeight="1">
      <c r="A37" s="86"/>
      <c r="B37" s="71"/>
      <c r="C37" s="71"/>
      <c r="D37" s="71"/>
      <c r="E37" s="71"/>
      <c r="F37" s="71"/>
      <c r="G37" s="71"/>
      <c r="H37" s="71"/>
      <c r="I37" s="71"/>
      <c r="J37" s="71"/>
      <c r="K37" s="71"/>
    </row>
    <row r="38" spans="1:11" ht="12.75">
      <c r="A38" s="86" t="s">
        <v>23</v>
      </c>
      <c r="B38" s="71"/>
      <c r="C38" s="57" t="s">
        <v>101</v>
      </c>
      <c r="D38" s="71"/>
      <c r="E38" s="71"/>
      <c r="F38" s="71"/>
      <c r="G38" s="71"/>
      <c r="H38" s="71"/>
      <c r="I38" s="71"/>
      <c r="J38" s="71"/>
      <c r="K38" s="71"/>
    </row>
    <row r="39" spans="1:11" ht="6" customHeight="1">
      <c r="A39" s="86"/>
      <c r="B39" s="71"/>
      <c r="C39" s="71"/>
      <c r="D39" s="71"/>
      <c r="E39" s="71"/>
      <c r="F39" s="71"/>
      <c r="G39" s="71"/>
      <c r="H39" s="71"/>
      <c r="I39" s="71"/>
      <c r="J39" s="71"/>
      <c r="K39" s="71"/>
    </row>
    <row r="40" spans="1:11" ht="12.75">
      <c r="A40" s="86" t="s">
        <v>25</v>
      </c>
      <c r="B40" s="71"/>
      <c r="C40" s="71" t="s">
        <v>64</v>
      </c>
      <c r="D40" s="71"/>
      <c r="E40" s="71"/>
      <c r="F40" s="72"/>
      <c r="G40" s="71"/>
      <c r="H40" s="71"/>
      <c r="I40" s="71"/>
      <c r="J40" s="71"/>
      <c r="K40" s="71"/>
    </row>
    <row r="41" spans="1:11" ht="12.75">
      <c r="A41" s="86"/>
      <c r="B41" s="71"/>
      <c r="C41" s="71" t="s">
        <v>63</v>
      </c>
      <c r="D41" s="71"/>
      <c r="E41" s="71"/>
      <c r="F41" s="72"/>
      <c r="G41" s="71"/>
      <c r="H41" s="71"/>
      <c r="I41" s="71"/>
      <c r="J41" s="71"/>
      <c r="K41" s="71"/>
    </row>
    <row r="42" spans="1:11" ht="6" customHeight="1">
      <c r="A42" s="86"/>
      <c r="B42" s="71"/>
      <c r="C42" s="71"/>
      <c r="D42" s="71"/>
      <c r="E42" s="71"/>
      <c r="F42" s="72"/>
      <c r="G42" s="71"/>
      <c r="H42" s="71"/>
      <c r="I42" s="71"/>
      <c r="J42" s="71"/>
      <c r="K42" s="71"/>
    </row>
    <row r="43" spans="1:11" ht="12.75">
      <c r="A43" s="86" t="s">
        <v>28</v>
      </c>
      <c r="B43" s="71"/>
      <c r="C43" s="71" t="s">
        <v>29</v>
      </c>
      <c r="D43" s="71"/>
      <c r="E43" s="71"/>
      <c r="F43" s="72"/>
      <c r="G43" s="71"/>
      <c r="H43" s="71"/>
      <c r="I43" s="71"/>
      <c r="J43" s="71"/>
      <c r="K43" s="71"/>
    </row>
    <row r="44" spans="1:11" ht="6" customHeight="1">
      <c r="A44" s="86"/>
      <c r="B44" s="71"/>
      <c r="C44" s="71"/>
      <c r="D44" s="71"/>
      <c r="E44" s="71"/>
      <c r="F44" s="72"/>
      <c r="G44" s="71"/>
      <c r="H44" s="71"/>
      <c r="I44" s="71"/>
      <c r="J44" s="71"/>
      <c r="K44" s="71"/>
    </row>
    <row r="45" spans="1:11" s="49" customFormat="1" ht="12.75">
      <c r="A45" s="45" t="s">
        <v>74</v>
      </c>
      <c r="B45" s="46"/>
      <c r="C45" s="46" t="s">
        <v>103</v>
      </c>
      <c r="D45" s="110"/>
      <c r="E45" s="48"/>
      <c r="F45" s="46"/>
      <c r="G45" s="46"/>
      <c r="H45" s="46"/>
      <c r="I45" s="46"/>
      <c r="J45" s="46"/>
      <c r="K45" s="46"/>
    </row>
    <row r="46" spans="1:11" s="49" customFormat="1" ht="12.75">
      <c r="A46" s="45"/>
      <c r="B46" s="46"/>
      <c r="C46" s="46" t="s">
        <v>81</v>
      </c>
      <c r="D46" s="110"/>
      <c r="E46" s="48"/>
      <c r="F46" s="46"/>
      <c r="G46" s="46"/>
      <c r="H46" s="46"/>
      <c r="I46" s="46"/>
      <c r="J46" s="46"/>
      <c r="K46" s="46"/>
    </row>
    <row r="47" spans="1:11" s="49" customFormat="1" ht="12.75">
      <c r="A47" s="45"/>
      <c r="B47" s="46"/>
      <c r="C47" s="46" t="s">
        <v>82</v>
      </c>
      <c r="D47" s="110"/>
      <c r="E47" s="48"/>
      <c r="F47" s="46"/>
      <c r="G47" s="46"/>
      <c r="H47" s="46"/>
      <c r="I47" s="46"/>
      <c r="J47" s="46"/>
      <c r="K47" s="46"/>
    </row>
    <row r="48" spans="1:11" s="49" customFormat="1" ht="5.25" customHeight="1">
      <c r="A48" s="45"/>
      <c r="B48" s="46"/>
      <c r="C48" s="46"/>
      <c r="D48" s="110"/>
      <c r="E48" s="48"/>
      <c r="F48" s="46"/>
      <c r="G48" s="46"/>
      <c r="H48" s="46"/>
      <c r="I48" s="46"/>
      <c r="J48" s="46"/>
      <c r="K48" s="46"/>
    </row>
    <row r="49" spans="1:11" s="49" customFormat="1" ht="14.25" customHeight="1">
      <c r="A49" s="45"/>
      <c r="B49" s="46"/>
      <c r="C49" s="23" t="s">
        <v>120</v>
      </c>
      <c r="D49" s="110"/>
      <c r="E49" s="48"/>
      <c r="F49" s="46"/>
      <c r="G49" s="46"/>
      <c r="H49" s="46"/>
      <c r="I49" s="46"/>
      <c r="J49" s="46"/>
      <c r="K49" s="46"/>
    </row>
    <row r="50" spans="1:11" s="49" customFormat="1" ht="12.75">
      <c r="A50" s="45"/>
      <c r="B50" s="46"/>
      <c r="C50" s="23" t="s">
        <v>119</v>
      </c>
      <c r="D50" s="110"/>
      <c r="E50" s="48"/>
      <c r="F50" s="46"/>
      <c r="G50" s="46"/>
      <c r="H50" s="46"/>
      <c r="I50" s="46"/>
      <c r="J50" s="46"/>
      <c r="K50" s="46"/>
    </row>
    <row r="51" spans="1:11" s="49" customFormat="1" ht="12.75">
      <c r="A51" s="45"/>
      <c r="B51" s="46"/>
      <c r="C51" s="23" t="s">
        <v>121</v>
      </c>
      <c r="D51" s="110"/>
      <c r="E51" s="48"/>
      <c r="F51" s="46"/>
      <c r="G51" s="46"/>
      <c r="H51" s="46"/>
      <c r="I51" s="46"/>
      <c r="J51" s="46"/>
      <c r="K51" s="46"/>
    </row>
    <row r="52" spans="1:11" ht="6" customHeight="1">
      <c r="A52" s="86"/>
      <c r="B52" s="71"/>
      <c r="C52" s="71"/>
      <c r="D52" s="71"/>
      <c r="E52" s="71"/>
      <c r="F52" s="72"/>
      <c r="G52" s="71"/>
      <c r="H52" s="71"/>
      <c r="I52" s="71"/>
      <c r="J52" s="71"/>
      <c r="K52" s="71"/>
    </row>
    <row r="53" spans="1:11" s="49" customFormat="1" ht="12.75">
      <c r="A53" s="45" t="s">
        <v>86</v>
      </c>
      <c r="B53" s="46"/>
      <c r="C53" s="46" t="s">
        <v>79</v>
      </c>
      <c r="D53" s="110"/>
      <c r="E53" s="48"/>
      <c r="F53" s="46"/>
      <c r="G53" s="46"/>
      <c r="H53" s="46"/>
      <c r="I53" s="46"/>
      <c r="J53" s="46"/>
      <c r="K53" s="46"/>
    </row>
    <row r="54" spans="1:11" s="49" customFormat="1" ht="12.75">
      <c r="A54" s="50"/>
      <c r="B54" s="46"/>
      <c r="C54" s="46" t="s">
        <v>80</v>
      </c>
      <c r="D54" s="110"/>
      <c r="E54" s="48"/>
      <c r="F54" s="46"/>
      <c r="G54" s="46"/>
      <c r="H54" s="46"/>
      <c r="I54" s="46"/>
      <c r="J54" s="46"/>
      <c r="K54" s="46"/>
    </row>
    <row r="55" spans="1:11" ht="12.75">
      <c r="A55" s="85"/>
      <c r="B55" s="83"/>
      <c r="C55" s="83"/>
      <c r="D55" s="83"/>
      <c r="E55" s="83"/>
      <c r="F55" s="84"/>
      <c r="G55" s="83"/>
      <c r="H55" s="83"/>
      <c r="I55" s="83"/>
      <c r="J55" s="83"/>
      <c r="K55" s="83"/>
    </row>
    <row r="56" spans="1:11" s="69" customFormat="1" ht="12.75">
      <c r="A56" s="116" t="s">
        <v>31</v>
      </c>
      <c r="B56" s="117"/>
      <c r="C56" s="117"/>
      <c r="D56" s="117"/>
      <c r="E56" s="117"/>
      <c r="F56" s="117"/>
      <c r="G56" s="117"/>
      <c r="H56" s="117"/>
      <c r="I56" s="117"/>
      <c r="J56" s="117"/>
      <c r="K56" s="117"/>
    </row>
    <row r="57" ht="12.75">
      <c r="A57" s="68"/>
    </row>
    <row r="58" spans="1:11" ht="13.5">
      <c r="A58" s="82"/>
      <c r="D58" s="81" t="s">
        <v>9</v>
      </c>
      <c r="E58" s="81" t="s">
        <v>84</v>
      </c>
      <c r="F58" s="115" t="s">
        <v>88</v>
      </c>
      <c r="G58" s="115"/>
      <c r="H58" s="115"/>
      <c r="I58" s="115"/>
      <c r="K58" s="81"/>
    </row>
    <row r="59" spans="1:11" ht="12.75">
      <c r="A59" s="80"/>
      <c r="D59" s="77" t="s">
        <v>17</v>
      </c>
      <c r="E59" s="77" t="s">
        <v>85</v>
      </c>
      <c r="F59" s="77" t="s">
        <v>89</v>
      </c>
      <c r="G59" s="79" t="s">
        <v>90</v>
      </c>
      <c r="H59" s="78"/>
      <c r="I59" s="77" t="s">
        <v>91</v>
      </c>
      <c r="K59" s="96"/>
    </row>
    <row r="60" spans="2:11" ht="12.75">
      <c r="B60" s="73"/>
      <c r="C60" s="73"/>
      <c r="D60" s="74">
        <v>0.39</v>
      </c>
      <c r="E60" s="74">
        <v>0.1</v>
      </c>
      <c r="F60" s="74">
        <v>0.41</v>
      </c>
      <c r="G60" s="76">
        <v>0.0875</v>
      </c>
      <c r="H60" s="75"/>
      <c r="I60" s="74">
        <v>0.0125</v>
      </c>
      <c r="K60" s="74"/>
    </row>
    <row r="61" spans="2:11" ht="12.75">
      <c r="B61" s="73"/>
      <c r="C61" s="73"/>
      <c r="D61" s="73"/>
      <c r="E61" s="71"/>
      <c r="F61" s="72"/>
      <c r="G61" s="70"/>
      <c r="H61" s="71"/>
      <c r="I61" s="70"/>
      <c r="J61" s="70"/>
      <c r="K61" s="70"/>
    </row>
    <row r="62" spans="1:11" s="69" customFormat="1" ht="12.75">
      <c r="A62" s="118" t="s">
        <v>43</v>
      </c>
      <c r="B62" s="119"/>
      <c r="C62" s="119"/>
      <c r="D62" s="119"/>
      <c r="E62" s="119"/>
      <c r="F62" s="119"/>
      <c r="G62" s="119"/>
      <c r="H62" s="119"/>
      <c r="I62" s="119"/>
      <c r="J62" s="119"/>
      <c r="K62" s="119"/>
    </row>
    <row r="63" spans="1:6" ht="9" customHeight="1">
      <c r="A63" s="68"/>
      <c r="E63" s="63"/>
      <c r="F63" s="64"/>
    </row>
    <row r="64" spans="1:11" ht="52.5" customHeight="1">
      <c r="A64" s="120" t="s">
        <v>127</v>
      </c>
      <c r="B64" s="121"/>
      <c r="C64" s="121"/>
      <c r="D64" s="121"/>
      <c r="E64" s="121"/>
      <c r="F64" s="121"/>
      <c r="G64" s="121"/>
      <c r="H64" s="121"/>
      <c r="I64" s="121"/>
      <c r="J64" s="121"/>
      <c r="K64" s="121"/>
    </row>
    <row r="65" spans="1:6" ht="12.75">
      <c r="A65" s="64"/>
      <c r="E65" s="63"/>
      <c r="F65" s="64"/>
    </row>
    <row r="66" spans="2:5" ht="12.75">
      <c r="B66" s="68" t="s">
        <v>44</v>
      </c>
      <c r="C66" s="68"/>
      <c r="D66" s="68"/>
      <c r="E66" s="64">
        <v>440789</v>
      </c>
    </row>
    <row r="67" spans="2:5" ht="12.75">
      <c r="B67" s="68" t="s">
        <v>45</v>
      </c>
      <c r="C67" s="68"/>
      <c r="D67" s="68"/>
      <c r="E67" s="64">
        <v>160388</v>
      </c>
    </row>
    <row r="68" spans="2:5" ht="12.75">
      <c r="B68" s="64" t="s">
        <v>46</v>
      </c>
      <c r="E68" s="64">
        <v>200392</v>
      </c>
    </row>
    <row r="69" ht="12.75">
      <c r="E69" s="64" t="s">
        <v>39</v>
      </c>
    </row>
    <row r="70" spans="1:6" s="113" customFormat="1" ht="15" customHeight="1">
      <c r="A70" s="112" t="s">
        <v>98</v>
      </c>
      <c r="F70" s="114"/>
    </row>
  </sheetData>
  <sheetProtection/>
  <mergeCells count="12">
    <mergeCell ref="I10:K10"/>
    <mergeCell ref="A31:K31"/>
    <mergeCell ref="A56:K56"/>
    <mergeCell ref="F58:I58"/>
    <mergeCell ref="A62:K62"/>
    <mergeCell ref="A64:K64"/>
    <mergeCell ref="A1:K1"/>
    <mergeCell ref="A2:K2"/>
    <mergeCell ref="A3:K3"/>
    <mergeCell ref="A4:K4"/>
    <mergeCell ref="A5:K5"/>
    <mergeCell ref="A8:K8"/>
  </mergeCells>
  <hyperlinks>
    <hyperlink ref="A4" r:id="rId1" display="www.batavia-downs.com"/>
  </hyperlinks>
  <printOptions/>
  <pageMargins left="0.25" right="0.25" top="0.75" bottom="0.5" header="0.5" footer="0.5"/>
  <pageSetup fitToHeight="1" fitToWidth="1" horizontalDpi="600" verticalDpi="600" orientation="portrait" scale="81" r:id="rId3"/>
  <ignoredErrors>
    <ignoredError sqref="G16:G26" formula="1"/>
  </ignoredErrors>
  <drawing r:id="rId2"/>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zoomScalePageLayoutView="0" workbookViewId="0" topLeftCell="A1">
      <selection activeCell="K15" sqref="K15"/>
    </sheetView>
  </sheetViews>
  <sheetFormatPr defaultColWidth="9.140625" defaultRowHeight="12.75"/>
  <cols>
    <col min="1" max="1" width="9.28125" style="66" customWidth="1"/>
    <col min="2" max="2" width="16.00390625" style="64" customWidth="1"/>
    <col min="3" max="3" width="13.140625" style="64" customWidth="1"/>
    <col min="4" max="4" width="14.421875" style="64" bestFit="1" customWidth="1"/>
    <col min="5" max="5" width="12.7109375" style="64" customWidth="1"/>
    <col min="6" max="6" width="10.57421875" style="65" customWidth="1"/>
    <col min="7" max="7" width="10.57421875" style="64" customWidth="1"/>
    <col min="8" max="8" width="2.421875" style="64" customWidth="1"/>
    <col min="9" max="9" width="12.421875" style="64" customWidth="1"/>
    <col min="10" max="10" width="12.8515625" style="64" customWidth="1"/>
    <col min="11" max="11" width="13.7109375" style="64" customWidth="1"/>
    <col min="12" max="12" width="12.7109375" style="63" customWidth="1"/>
    <col min="13" max="16384" width="9.140625" style="63" customWidth="1"/>
  </cols>
  <sheetData>
    <row r="1" spans="1:11" ht="18">
      <c r="A1" s="122" t="s">
        <v>100</v>
      </c>
      <c r="B1" s="122"/>
      <c r="C1" s="122"/>
      <c r="D1" s="122"/>
      <c r="E1" s="122"/>
      <c r="F1" s="122"/>
      <c r="G1" s="122"/>
      <c r="H1" s="122"/>
      <c r="I1" s="122"/>
      <c r="J1" s="122"/>
      <c r="K1" s="122"/>
    </row>
    <row r="2" spans="1:11" ht="15">
      <c r="A2" s="123" t="s">
        <v>0</v>
      </c>
      <c r="B2" s="123"/>
      <c r="C2" s="123"/>
      <c r="D2" s="123"/>
      <c r="E2" s="123"/>
      <c r="F2" s="123"/>
      <c r="G2" s="123"/>
      <c r="H2" s="123"/>
      <c r="I2" s="123"/>
      <c r="J2" s="123"/>
      <c r="K2" s="123"/>
    </row>
    <row r="3" spans="1:11" s="101" customFormat="1" ht="15">
      <c r="A3" s="123" t="s">
        <v>1</v>
      </c>
      <c r="B3" s="123"/>
      <c r="C3" s="123"/>
      <c r="D3" s="123"/>
      <c r="E3" s="123"/>
      <c r="F3" s="123"/>
      <c r="G3" s="123"/>
      <c r="H3" s="123"/>
      <c r="I3" s="123"/>
      <c r="J3" s="123"/>
      <c r="K3" s="123"/>
    </row>
    <row r="4" spans="1:11" s="101" customFormat="1" ht="14.25">
      <c r="A4" s="124" t="s">
        <v>2</v>
      </c>
      <c r="B4" s="124"/>
      <c r="C4" s="124"/>
      <c r="D4" s="124"/>
      <c r="E4" s="124"/>
      <c r="F4" s="124"/>
      <c r="G4" s="124"/>
      <c r="H4" s="124"/>
      <c r="I4" s="124"/>
      <c r="J4" s="124"/>
      <c r="K4" s="124"/>
    </row>
    <row r="5" spans="1:11" s="101" customFormat="1" ht="14.25">
      <c r="A5" s="125" t="s">
        <v>3</v>
      </c>
      <c r="B5" s="125"/>
      <c r="C5" s="125"/>
      <c r="D5" s="125"/>
      <c r="E5" s="125"/>
      <c r="F5" s="125"/>
      <c r="G5" s="125"/>
      <c r="H5" s="125"/>
      <c r="I5" s="125"/>
      <c r="J5" s="125"/>
      <c r="K5" s="125"/>
    </row>
    <row r="6" spans="1:11" s="101" customFormat="1" ht="14.25">
      <c r="A6" s="106"/>
      <c r="B6" s="106"/>
      <c r="C6" s="106"/>
      <c r="D6" s="106"/>
      <c r="E6" s="106"/>
      <c r="F6" s="106"/>
      <c r="G6" s="106"/>
      <c r="H6" s="106"/>
      <c r="I6" s="106"/>
      <c r="J6" s="106"/>
      <c r="K6" s="106"/>
    </row>
    <row r="7" spans="1:11" s="101" customFormat="1" ht="12.75">
      <c r="A7" s="66"/>
      <c r="B7" s="104"/>
      <c r="C7" s="104"/>
      <c r="D7" s="104"/>
      <c r="E7" s="102"/>
      <c r="F7" s="103"/>
      <c r="G7" s="102"/>
      <c r="H7" s="102"/>
      <c r="I7" s="102"/>
      <c r="J7" s="102"/>
      <c r="K7" s="102"/>
    </row>
    <row r="8" spans="1:11" s="105" customFormat="1" ht="14.25" customHeight="1">
      <c r="A8" s="116" t="s">
        <v>125</v>
      </c>
      <c r="B8" s="117"/>
      <c r="C8" s="117"/>
      <c r="D8" s="117"/>
      <c r="E8" s="117"/>
      <c r="F8" s="117"/>
      <c r="G8" s="117"/>
      <c r="H8" s="117"/>
      <c r="I8" s="117"/>
      <c r="J8" s="117"/>
      <c r="K8" s="117"/>
    </row>
    <row r="9" spans="1:11" s="101" customFormat="1" ht="9" customHeight="1">
      <c r="A9" s="66"/>
      <c r="B9" s="104"/>
      <c r="C9" s="104"/>
      <c r="D9" s="104"/>
      <c r="E9" s="102"/>
      <c r="F9" s="103"/>
      <c r="G9" s="102"/>
      <c r="H9" s="102"/>
      <c r="I9" s="102"/>
      <c r="J9" s="102"/>
      <c r="K9" s="102"/>
    </row>
    <row r="10" spans="1:11" s="101" customFormat="1" ht="12.75">
      <c r="A10" s="66"/>
      <c r="B10" s="102"/>
      <c r="C10" s="102"/>
      <c r="D10" s="102"/>
      <c r="E10" s="102"/>
      <c r="F10" s="103"/>
      <c r="G10" s="102"/>
      <c r="H10" s="102"/>
      <c r="I10" s="115" t="s">
        <v>5</v>
      </c>
      <c r="J10" s="115"/>
      <c r="K10" s="115"/>
    </row>
    <row r="11" spans="1:11" s="101" customFormat="1" ht="12.75">
      <c r="A11" s="66"/>
      <c r="B11" s="102"/>
      <c r="C11" s="102"/>
      <c r="D11" s="102"/>
      <c r="E11" s="102"/>
      <c r="F11" s="103"/>
      <c r="G11" s="102"/>
      <c r="H11" s="102"/>
      <c r="I11" s="102"/>
      <c r="J11" s="102"/>
      <c r="K11" s="102"/>
    </row>
    <row r="12" spans="1:11" s="95" customFormat="1" ht="12">
      <c r="A12" s="100"/>
      <c r="B12" s="81" t="s">
        <v>6</v>
      </c>
      <c r="C12" s="81" t="s">
        <v>72</v>
      </c>
      <c r="D12" s="81" t="s">
        <v>6</v>
      </c>
      <c r="E12" s="81"/>
      <c r="F12" s="99" t="s">
        <v>7</v>
      </c>
      <c r="G12" s="81" t="s">
        <v>8</v>
      </c>
      <c r="H12" s="81"/>
      <c r="I12" s="81" t="s">
        <v>9</v>
      </c>
      <c r="J12" s="81" t="s">
        <v>84</v>
      </c>
      <c r="K12" s="81" t="s">
        <v>83</v>
      </c>
    </row>
    <row r="13" spans="1:11" s="95" customFormat="1" ht="12">
      <c r="A13" s="98" t="s">
        <v>11</v>
      </c>
      <c r="B13" s="77" t="s">
        <v>12</v>
      </c>
      <c r="C13" s="77" t="s">
        <v>19</v>
      </c>
      <c r="D13" s="77" t="s">
        <v>13</v>
      </c>
      <c r="E13" s="77" t="s">
        <v>14</v>
      </c>
      <c r="F13" s="97" t="s">
        <v>15</v>
      </c>
      <c r="G13" s="77" t="s">
        <v>16</v>
      </c>
      <c r="H13" s="96"/>
      <c r="I13" s="77" t="s">
        <v>17</v>
      </c>
      <c r="J13" s="77" t="s">
        <v>85</v>
      </c>
      <c r="K13" s="77" t="s">
        <v>18</v>
      </c>
    </row>
    <row r="15" spans="1:12" ht="12.75">
      <c r="A15" s="66">
        <v>44287</v>
      </c>
      <c r="B15" s="64">
        <v>70248434.18</v>
      </c>
      <c r="C15" s="64">
        <v>636901.47</v>
      </c>
      <c r="D15" s="64">
        <f aca="true" t="shared" si="0" ref="D15:D26">IF(ISBLANK(B15),"",B15-C15-E15)</f>
        <v>64490585.56000001</v>
      </c>
      <c r="E15" s="64">
        <v>5120947.15</v>
      </c>
      <c r="F15" s="65">
        <v>482.96</v>
      </c>
      <c r="G15" s="64">
        <f>_xlfn.IFERROR((E15/F15/30)," ")</f>
        <v>353.44177226547407</v>
      </c>
      <c r="H15" s="107"/>
      <c r="I15" s="64">
        <v>1997169.39</v>
      </c>
      <c r="J15" s="64">
        <v>512094.73</v>
      </c>
      <c r="K15" s="64">
        <v>2611683.05</v>
      </c>
      <c r="L15" s="65"/>
    </row>
    <row r="16" spans="1:12" ht="12.75">
      <c r="A16" s="66">
        <v>44317</v>
      </c>
      <c r="B16" s="64">
        <v>72244371.9</v>
      </c>
      <c r="C16" s="64">
        <v>695326.52</v>
      </c>
      <c r="D16" s="64">
        <f t="shared" si="0"/>
        <v>66272402.80000001</v>
      </c>
      <c r="E16" s="64">
        <v>5276642.58</v>
      </c>
      <c r="F16" s="65">
        <v>502</v>
      </c>
      <c r="G16" s="64">
        <f>_xlfn.IFERROR((E16/F16/31)," ")</f>
        <v>339.0722644904254</v>
      </c>
      <c r="H16" s="107"/>
      <c r="I16" s="64">
        <v>2057890.61</v>
      </c>
      <c r="J16" s="64">
        <v>527664.26</v>
      </c>
      <c r="K16" s="64">
        <v>2691087.72</v>
      </c>
      <c r="L16" s="65"/>
    </row>
    <row r="17" spans="1:12" ht="12.75">
      <c r="A17" s="66">
        <v>44348</v>
      </c>
      <c r="B17" s="64">
        <v>81594840.37</v>
      </c>
      <c r="C17" s="64">
        <v>768636.7599999999</v>
      </c>
      <c r="D17" s="64">
        <f>IF(ISBLANK(B17),"",B17-C17-E17)</f>
        <v>74916170.75</v>
      </c>
      <c r="E17" s="64">
        <v>5910032.86</v>
      </c>
      <c r="F17" s="65">
        <v>706</v>
      </c>
      <c r="G17" s="64">
        <f>_xlfn.IFERROR((E17/F17/30)," ")</f>
        <v>279.0383786591124</v>
      </c>
      <c r="H17" s="107"/>
      <c r="I17" s="64">
        <v>2304912.8153999997</v>
      </c>
      <c r="J17" s="64">
        <v>591003.28</v>
      </c>
      <c r="K17" s="64">
        <v>3014116.7586000003</v>
      </c>
      <c r="L17" s="65"/>
    </row>
    <row r="18" spans="1:12" ht="12.75">
      <c r="A18" s="66">
        <v>44378</v>
      </c>
      <c r="B18" s="64">
        <v>93253724.77</v>
      </c>
      <c r="C18" s="64">
        <v>940812.2900000002</v>
      </c>
      <c r="D18" s="64">
        <f>IF(ISBLANK(B18),"",B18-C18-E18)</f>
        <v>85397282.64999999</v>
      </c>
      <c r="E18" s="64">
        <v>6915629.83</v>
      </c>
      <c r="F18" s="65">
        <v>879</v>
      </c>
      <c r="G18" s="64">
        <f>_xlfn.IFERROR((E18/F18/31)," ")</f>
        <v>253.7938944548424</v>
      </c>
      <c r="H18" s="107"/>
      <c r="I18" s="64">
        <v>2697095.6337000006</v>
      </c>
      <c r="J18" s="64">
        <v>691563.0100000001</v>
      </c>
      <c r="K18" s="64">
        <v>3526971.2132999995</v>
      </c>
      <c r="L18" s="65"/>
    </row>
    <row r="19" spans="1:12" ht="12.75">
      <c r="A19" s="66">
        <v>44409</v>
      </c>
      <c r="B19" s="64">
        <v>91156497.64000002</v>
      </c>
      <c r="C19" s="64">
        <v>945393.85</v>
      </c>
      <c r="D19" s="64">
        <f>IF(ISBLANK(B19),"",B19-C19-E19)</f>
        <v>83422105.64000002</v>
      </c>
      <c r="E19" s="64">
        <v>6788998.150000001</v>
      </c>
      <c r="F19" s="65">
        <v>879</v>
      </c>
      <c r="G19" s="64">
        <f>_xlfn.IFERROR((E19/F19/31)," ")</f>
        <v>249.14668978678122</v>
      </c>
      <c r="H19" s="107"/>
      <c r="I19" s="64">
        <v>2647709.2785000005</v>
      </c>
      <c r="J19" s="64">
        <v>678899.815</v>
      </c>
      <c r="K19" s="64">
        <v>3462389.0499999993</v>
      </c>
      <c r="L19" s="111"/>
    </row>
    <row r="20" spans="1:12" ht="12.75">
      <c r="A20" s="66">
        <v>44440</v>
      </c>
      <c r="B20" s="64">
        <v>84927092.32</v>
      </c>
      <c r="C20" s="64">
        <v>834959.0700000001</v>
      </c>
      <c r="D20" s="64">
        <f t="shared" si="0"/>
        <v>77813278.49</v>
      </c>
      <c r="E20" s="64">
        <v>6278854.76</v>
      </c>
      <c r="F20" s="65">
        <v>879</v>
      </c>
      <c r="G20" s="64">
        <f>_xlfn.IFERROR((E20/F20/30)," ")</f>
        <v>238.10598255593476</v>
      </c>
      <c r="H20" s="107"/>
      <c r="I20" s="64">
        <v>2448753.3564000004</v>
      </c>
      <c r="J20" s="64">
        <v>627885.476</v>
      </c>
      <c r="K20" s="64">
        <v>3202215.920000001</v>
      </c>
      <c r="L20" s="65"/>
    </row>
    <row r="21" spans="1:12" ht="12.75">
      <c r="A21" s="66">
        <v>44470</v>
      </c>
      <c r="B21" s="64">
        <v>87681249.32999997</v>
      </c>
      <c r="C21" s="64">
        <v>894036.5099999999</v>
      </c>
      <c r="D21" s="64">
        <f t="shared" si="0"/>
        <v>80555161.54999997</v>
      </c>
      <c r="E21" s="64">
        <v>6232051.27</v>
      </c>
      <c r="F21" s="65">
        <v>879</v>
      </c>
      <c r="G21" s="64">
        <f>_xlfn.IFERROR((E21/F21/31)," ")</f>
        <v>228.70752211090314</v>
      </c>
      <c r="H21" s="107"/>
      <c r="I21" s="64">
        <v>2430499.9953000005</v>
      </c>
      <c r="J21" s="64">
        <v>623205.13</v>
      </c>
      <c r="K21" s="64">
        <v>3178346.1477</v>
      </c>
      <c r="L21" s="65"/>
    </row>
    <row r="22" spans="1:12" ht="12.75">
      <c r="A22" s="66">
        <v>44501</v>
      </c>
      <c r="B22" s="64">
        <v>78169266.72999999</v>
      </c>
      <c r="C22" s="64">
        <v>800307.44</v>
      </c>
      <c r="D22" s="64">
        <f t="shared" si="0"/>
        <v>71701686.16</v>
      </c>
      <c r="E22" s="64">
        <v>5667273.130000003</v>
      </c>
      <c r="F22" s="65">
        <v>879</v>
      </c>
      <c r="G22" s="64">
        <f>_xlfn.IFERROR((E22/F22/30)," ")</f>
        <v>214.9136568069777</v>
      </c>
      <c r="H22" s="107"/>
      <c r="I22" s="64">
        <v>2210236.520700001</v>
      </c>
      <c r="J22" s="64">
        <v>566727.32</v>
      </c>
      <c r="K22" s="64">
        <v>2890309.2963000014</v>
      </c>
      <c r="L22" s="65"/>
    </row>
    <row r="23" spans="1:12" ht="12.75">
      <c r="A23" s="66">
        <v>44531</v>
      </c>
      <c r="B23" s="64">
        <v>80002948.24999999</v>
      </c>
      <c r="C23" s="64">
        <v>818170.9899999999</v>
      </c>
      <c r="D23" s="64">
        <f t="shared" si="0"/>
        <v>73441034.24</v>
      </c>
      <c r="E23" s="64">
        <v>5743743.02</v>
      </c>
      <c r="F23" s="65">
        <v>879</v>
      </c>
      <c r="G23" s="64">
        <f>_xlfn.IFERROR((E23/F23/31)," ")</f>
        <v>210.7872956805754</v>
      </c>
      <c r="H23" s="107"/>
      <c r="I23" s="64">
        <v>2240059.7777999993</v>
      </c>
      <c r="J23" s="64">
        <v>574374.2999999999</v>
      </c>
      <c r="K23" s="64">
        <v>2929308.940199999</v>
      </c>
      <c r="L23" s="65"/>
    </row>
    <row r="24" spans="1:12" ht="12.75">
      <c r="A24" s="66">
        <v>44562</v>
      </c>
      <c r="B24" s="64">
        <v>72785109.61</v>
      </c>
      <c r="C24" s="64">
        <v>889249.8500000002</v>
      </c>
      <c r="D24" s="64">
        <f t="shared" si="0"/>
        <v>66576016.64000001</v>
      </c>
      <c r="E24" s="64">
        <v>5319843.12</v>
      </c>
      <c r="F24" s="65">
        <v>879</v>
      </c>
      <c r="G24" s="64">
        <f>_xlfn.IFERROR((E24/F24/31)," ")</f>
        <v>195.23076516569415</v>
      </c>
      <c r="H24" s="107"/>
      <c r="I24" s="64">
        <v>2074738.8168</v>
      </c>
      <c r="J24" s="64">
        <v>531984.32</v>
      </c>
      <c r="K24" s="64">
        <v>2713119.9912000005</v>
      </c>
      <c r="L24" s="65"/>
    </row>
    <row r="25" spans="1:12" ht="12.75">
      <c r="A25" s="66">
        <v>44593</v>
      </c>
      <c r="B25" s="64">
        <v>84269705.59999998</v>
      </c>
      <c r="C25" s="64">
        <v>1170198.0399999998</v>
      </c>
      <c r="D25" s="64">
        <f t="shared" si="0"/>
        <v>77264340.78999998</v>
      </c>
      <c r="E25" s="64">
        <v>5835166.77</v>
      </c>
      <c r="F25" s="65">
        <v>879</v>
      </c>
      <c r="G25" s="64">
        <f>_xlfn.IFERROR((E25/F25/28)," ")</f>
        <v>237.08624939054116</v>
      </c>
      <c r="H25" s="107"/>
      <c r="I25" s="64">
        <v>2275715.0402999995</v>
      </c>
      <c r="J25" s="64">
        <v>583516.7000000001</v>
      </c>
      <c r="K25" s="64">
        <v>2975935.0527</v>
      </c>
      <c r="L25" s="65"/>
    </row>
    <row r="26" spans="1:12" ht="12.75">
      <c r="A26" s="66">
        <v>44621</v>
      </c>
      <c r="B26" s="64">
        <v>101649523.03999999</v>
      </c>
      <c r="C26" s="64">
        <v>1529795.67</v>
      </c>
      <c r="D26" s="64">
        <f t="shared" si="0"/>
        <v>93099917.08999999</v>
      </c>
      <c r="E26" s="64">
        <v>7019810.280000002</v>
      </c>
      <c r="F26" s="65">
        <v>879</v>
      </c>
      <c r="G26" s="64">
        <f>_xlfn.IFERROR((E26/F26/31)," ")</f>
        <v>257.61717053836844</v>
      </c>
      <c r="H26" s="107"/>
      <c r="I26" s="64">
        <v>2737726.0091999997</v>
      </c>
      <c r="J26" s="64">
        <v>701981.0399999999</v>
      </c>
      <c r="K26" s="64">
        <v>3580103.2428</v>
      </c>
      <c r="L26" s="65"/>
    </row>
    <row r="27" spans="1:11" ht="13.5" thickBot="1">
      <c r="A27" s="94" t="s">
        <v>20</v>
      </c>
      <c r="B27" s="92">
        <f>SUM(B15:B26)</f>
        <v>997982763.74</v>
      </c>
      <c r="C27" s="92">
        <f>SUM(C15:C26)</f>
        <v>10923788.46</v>
      </c>
      <c r="D27" s="92">
        <f>SUM(D15:D26)</f>
        <v>914949982.3599999</v>
      </c>
      <c r="E27" s="92">
        <f>SUM(E15:E26)</f>
        <v>72108992.92000002</v>
      </c>
      <c r="F27" s="62">
        <f>SUM(F15:F26)/COUNT(F15:F26)</f>
        <v>800.1633333333333</v>
      </c>
      <c r="G27" s="60">
        <f>AVERAGE(G15:G26)</f>
        <v>254.7451368254692</v>
      </c>
      <c r="H27" s="93"/>
      <c r="I27" s="92">
        <f>SUM(I15:I26)</f>
        <v>28122507.2441</v>
      </c>
      <c r="J27" s="92">
        <f>SUM(J15:J26)</f>
        <v>7210899.381000001</v>
      </c>
      <c r="K27" s="92">
        <f>SUM(K15:K26)</f>
        <v>36775586.3828</v>
      </c>
    </row>
    <row r="28" spans="2:11" ht="10.5" customHeight="1" thickTop="1">
      <c r="B28" s="91"/>
      <c r="C28" s="91"/>
      <c r="D28" s="91"/>
      <c r="E28" s="91"/>
      <c r="I28" s="91"/>
      <c r="J28" s="91"/>
      <c r="K28" s="91"/>
    </row>
    <row r="29" spans="1:11" s="88" customFormat="1" ht="12.75">
      <c r="A29" s="90"/>
      <c r="B29" s="89"/>
      <c r="C29" s="89">
        <f>_xlfn.IFERROR(C27/B27,"")</f>
        <v>0.010945868863568797</v>
      </c>
      <c r="D29" s="89">
        <f>_xlfn.IFERROR(D27/B27,"")</f>
        <v>0.916799383319177</v>
      </c>
      <c r="E29" s="89">
        <f>_xlfn.IFERROR(E27/B27,"")</f>
        <v>0.07225474781725413</v>
      </c>
      <c r="I29" s="89">
        <f>_xlfn.IFERROR(I27/$E$27,"")</f>
        <v>0.3900000000734998</v>
      </c>
      <c r="J29" s="89">
        <f>_xlfn.IFERROR(J27/$E$27,"")</f>
        <v>0.10000000123424271</v>
      </c>
      <c r="K29" s="89">
        <f>_xlfn.IFERROR(K27/$E$27,"")</f>
        <v>0.5099999999112453</v>
      </c>
    </row>
    <row r="31" spans="1:11" s="69" customFormat="1" ht="12.75">
      <c r="A31" s="116" t="s">
        <v>21</v>
      </c>
      <c r="B31" s="117"/>
      <c r="C31" s="117"/>
      <c r="D31" s="117"/>
      <c r="E31" s="117"/>
      <c r="F31" s="117"/>
      <c r="G31" s="117"/>
      <c r="H31" s="117"/>
      <c r="I31" s="117"/>
      <c r="J31" s="117"/>
      <c r="K31" s="117"/>
    </row>
    <row r="32" ht="12.75">
      <c r="A32" s="68"/>
    </row>
    <row r="33" spans="1:11" s="49" customFormat="1" ht="12.75" customHeight="1">
      <c r="A33" s="45" t="s">
        <v>22</v>
      </c>
      <c r="B33" s="46"/>
      <c r="C33" s="57" t="s">
        <v>94</v>
      </c>
      <c r="D33" s="58"/>
      <c r="E33" s="58"/>
      <c r="F33" s="58"/>
      <c r="G33" s="58"/>
      <c r="H33" s="58"/>
      <c r="I33" s="58"/>
      <c r="J33" s="58"/>
      <c r="K33" s="58"/>
    </row>
    <row r="34" spans="1:11" s="49" customFormat="1" ht="12.75" customHeight="1">
      <c r="A34" s="45"/>
      <c r="B34" s="46"/>
      <c r="C34" s="57" t="s">
        <v>95</v>
      </c>
      <c r="D34" s="58"/>
      <c r="E34" s="58"/>
      <c r="F34" s="58"/>
      <c r="G34" s="58"/>
      <c r="H34" s="58"/>
      <c r="I34" s="58"/>
      <c r="J34" s="58"/>
      <c r="K34" s="58"/>
    </row>
    <row r="35" spans="1:11" ht="6" customHeight="1">
      <c r="A35" s="86"/>
      <c r="B35" s="71"/>
      <c r="C35" s="71"/>
      <c r="D35" s="87"/>
      <c r="E35" s="87"/>
      <c r="F35" s="87"/>
      <c r="G35" s="87"/>
      <c r="H35" s="87"/>
      <c r="I35" s="87"/>
      <c r="J35" s="87"/>
      <c r="K35" s="87"/>
    </row>
    <row r="36" spans="1:11" ht="12.75">
      <c r="A36" s="86" t="s">
        <v>97</v>
      </c>
      <c r="B36" s="71"/>
      <c r="C36" s="71" t="s">
        <v>87</v>
      </c>
      <c r="D36" s="71"/>
      <c r="E36" s="71"/>
      <c r="F36" s="71"/>
      <c r="G36" s="71"/>
      <c r="H36" s="71"/>
      <c r="I36" s="71"/>
      <c r="J36" s="71"/>
      <c r="K36" s="71"/>
    </row>
    <row r="37" spans="1:11" ht="6" customHeight="1">
      <c r="A37" s="86"/>
      <c r="B37" s="71"/>
      <c r="C37" s="71"/>
      <c r="D37" s="71"/>
      <c r="E37" s="71"/>
      <c r="F37" s="71"/>
      <c r="G37" s="71"/>
      <c r="H37" s="71"/>
      <c r="I37" s="71"/>
      <c r="J37" s="71"/>
      <c r="K37" s="71"/>
    </row>
    <row r="38" spans="1:11" ht="12.75">
      <c r="A38" s="86" t="s">
        <v>23</v>
      </c>
      <c r="B38" s="71"/>
      <c r="C38" s="57" t="s">
        <v>101</v>
      </c>
      <c r="D38" s="71"/>
      <c r="E38" s="71"/>
      <c r="F38" s="71"/>
      <c r="G38" s="71"/>
      <c r="H38" s="71"/>
      <c r="I38" s="71"/>
      <c r="J38" s="71"/>
      <c r="K38" s="71"/>
    </row>
    <row r="39" spans="1:11" ht="6" customHeight="1">
      <c r="A39" s="86"/>
      <c r="B39" s="71"/>
      <c r="C39" s="71"/>
      <c r="D39" s="71"/>
      <c r="E39" s="71"/>
      <c r="F39" s="71"/>
      <c r="G39" s="71"/>
      <c r="H39" s="71"/>
      <c r="I39" s="71"/>
      <c r="J39" s="71"/>
      <c r="K39" s="71"/>
    </row>
    <row r="40" spans="1:11" ht="12.75">
      <c r="A40" s="86" t="s">
        <v>25</v>
      </c>
      <c r="B40" s="71"/>
      <c r="C40" s="71" t="s">
        <v>64</v>
      </c>
      <c r="D40" s="71"/>
      <c r="E40" s="71"/>
      <c r="F40" s="72"/>
      <c r="G40" s="71"/>
      <c r="H40" s="71"/>
      <c r="I40" s="71"/>
      <c r="J40" s="71"/>
      <c r="K40" s="71"/>
    </row>
    <row r="41" spans="1:11" ht="12.75">
      <c r="A41" s="86"/>
      <c r="B41" s="71"/>
      <c r="C41" s="71" t="s">
        <v>63</v>
      </c>
      <c r="D41" s="71"/>
      <c r="E41" s="71"/>
      <c r="F41" s="72"/>
      <c r="G41" s="71"/>
      <c r="H41" s="71"/>
      <c r="I41" s="71"/>
      <c r="J41" s="71"/>
      <c r="K41" s="71"/>
    </row>
    <row r="42" spans="1:11" ht="6" customHeight="1">
      <c r="A42" s="86"/>
      <c r="B42" s="71"/>
      <c r="C42" s="71"/>
      <c r="D42" s="71"/>
      <c r="E42" s="71"/>
      <c r="F42" s="72"/>
      <c r="G42" s="71"/>
      <c r="H42" s="71"/>
      <c r="I42" s="71"/>
      <c r="J42" s="71"/>
      <c r="K42" s="71"/>
    </row>
    <row r="43" spans="1:11" ht="12.75">
      <c r="A43" s="86" t="s">
        <v>28</v>
      </c>
      <c r="B43" s="71"/>
      <c r="C43" s="71" t="s">
        <v>29</v>
      </c>
      <c r="D43" s="71"/>
      <c r="E43" s="71"/>
      <c r="F43" s="72"/>
      <c r="G43" s="71"/>
      <c r="H43" s="71"/>
      <c r="I43" s="71"/>
      <c r="J43" s="71"/>
      <c r="K43" s="71"/>
    </row>
    <row r="44" spans="1:11" ht="6" customHeight="1">
      <c r="A44" s="86"/>
      <c r="B44" s="71"/>
      <c r="C44" s="71"/>
      <c r="D44" s="71"/>
      <c r="E44" s="71"/>
      <c r="F44" s="72"/>
      <c r="G44" s="71"/>
      <c r="H44" s="71"/>
      <c r="I44" s="71"/>
      <c r="J44" s="71"/>
      <c r="K44" s="71"/>
    </row>
    <row r="45" spans="1:11" s="49" customFormat="1" ht="12.75">
      <c r="A45" s="45" t="s">
        <v>74</v>
      </c>
      <c r="B45" s="46"/>
      <c r="C45" s="46" t="s">
        <v>103</v>
      </c>
      <c r="D45" s="110"/>
      <c r="E45" s="48"/>
      <c r="F45" s="46"/>
      <c r="G45" s="46"/>
      <c r="H45" s="46"/>
      <c r="I45" s="46"/>
      <c r="J45" s="46"/>
      <c r="K45" s="46"/>
    </row>
    <row r="46" spans="1:11" s="49" customFormat="1" ht="12.75">
      <c r="A46" s="45"/>
      <c r="B46" s="46"/>
      <c r="C46" s="46" t="s">
        <v>81</v>
      </c>
      <c r="D46" s="110"/>
      <c r="E46" s="48"/>
      <c r="F46" s="46"/>
      <c r="G46" s="46"/>
      <c r="H46" s="46"/>
      <c r="I46" s="46"/>
      <c r="J46" s="46"/>
      <c r="K46" s="46"/>
    </row>
    <row r="47" spans="1:11" s="49" customFormat="1" ht="12.75">
      <c r="A47" s="45"/>
      <c r="B47" s="46"/>
      <c r="C47" s="46" t="s">
        <v>82</v>
      </c>
      <c r="D47" s="110"/>
      <c r="E47" s="48"/>
      <c r="F47" s="46"/>
      <c r="G47" s="46"/>
      <c r="H47" s="46"/>
      <c r="I47" s="46"/>
      <c r="J47" s="46"/>
      <c r="K47" s="46"/>
    </row>
    <row r="48" spans="1:11" s="49" customFormat="1" ht="5.25" customHeight="1">
      <c r="A48" s="45"/>
      <c r="B48" s="46"/>
      <c r="C48" s="46"/>
      <c r="D48" s="110"/>
      <c r="E48" s="48"/>
      <c r="F48" s="46"/>
      <c r="G48" s="46"/>
      <c r="H48" s="46"/>
      <c r="I48" s="46"/>
      <c r="J48" s="46"/>
      <c r="K48" s="46"/>
    </row>
    <row r="49" spans="1:11" s="49" customFormat="1" ht="14.25" customHeight="1">
      <c r="A49" s="45"/>
      <c r="B49" s="46"/>
      <c r="C49" s="23" t="s">
        <v>120</v>
      </c>
      <c r="D49" s="110"/>
      <c r="E49" s="48"/>
      <c r="F49" s="46"/>
      <c r="G49" s="46"/>
      <c r="H49" s="46"/>
      <c r="I49" s="46"/>
      <c r="J49" s="46"/>
      <c r="K49" s="46"/>
    </row>
    <row r="50" spans="1:11" s="49" customFormat="1" ht="12.75">
      <c r="A50" s="45"/>
      <c r="B50" s="46"/>
      <c r="C50" s="23" t="s">
        <v>119</v>
      </c>
      <c r="D50" s="110"/>
      <c r="E50" s="48"/>
      <c r="F50" s="46"/>
      <c r="G50" s="46"/>
      <c r="H50" s="46"/>
      <c r="I50" s="46"/>
      <c r="J50" s="46"/>
      <c r="K50" s="46"/>
    </row>
    <row r="51" spans="1:11" s="49" customFormat="1" ht="12.75">
      <c r="A51" s="45"/>
      <c r="B51" s="46"/>
      <c r="C51" s="23" t="s">
        <v>121</v>
      </c>
      <c r="D51" s="110"/>
      <c r="E51" s="48"/>
      <c r="F51" s="46"/>
      <c r="G51" s="46"/>
      <c r="H51" s="46"/>
      <c r="I51" s="46"/>
      <c r="J51" s="46"/>
      <c r="K51" s="46"/>
    </row>
    <row r="52" spans="1:11" ht="6" customHeight="1">
      <c r="A52" s="86"/>
      <c r="B52" s="71"/>
      <c r="C52" s="71"/>
      <c r="D52" s="71"/>
      <c r="E52" s="71"/>
      <c r="F52" s="72"/>
      <c r="G52" s="71"/>
      <c r="H52" s="71"/>
      <c r="I52" s="71"/>
      <c r="J52" s="71"/>
      <c r="K52" s="71"/>
    </row>
    <row r="53" spans="1:11" s="49" customFormat="1" ht="12.75">
      <c r="A53" s="45" t="s">
        <v>86</v>
      </c>
      <c r="B53" s="46"/>
      <c r="C53" s="46" t="s">
        <v>79</v>
      </c>
      <c r="D53" s="110"/>
      <c r="E53" s="48"/>
      <c r="F53" s="46"/>
      <c r="G53" s="46"/>
      <c r="H53" s="46"/>
      <c r="I53" s="46"/>
      <c r="J53" s="46"/>
      <c r="K53" s="46"/>
    </row>
    <row r="54" spans="1:11" s="49" customFormat="1" ht="12.75">
      <c r="A54" s="50"/>
      <c r="B54" s="46"/>
      <c r="C54" s="46" t="s">
        <v>80</v>
      </c>
      <c r="D54" s="110"/>
      <c r="E54" s="48"/>
      <c r="F54" s="46"/>
      <c r="G54" s="46"/>
      <c r="H54" s="46"/>
      <c r="I54" s="46"/>
      <c r="J54" s="46"/>
      <c r="K54" s="46"/>
    </row>
    <row r="55" spans="1:11" ht="12.75">
      <c r="A55" s="85"/>
      <c r="B55" s="83"/>
      <c r="C55" s="83"/>
      <c r="D55" s="83"/>
      <c r="E55" s="83"/>
      <c r="F55" s="84"/>
      <c r="G55" s="83"/>
      <c r="H55" s="83"/>
      <c r="I55" s="83"/>
      <c r="J55" s="83"/>
      <c r="K55" s="83"/>
    </row>
    <row r="56" spans="1:11" s="69" customFormat="1" ht="12.75">
      <c r="A56" s="116" t="s">
        <v>31</v>
      </c>
      <c r="B56" s="117"/>
      <c r="C56" s="117"/>
      <c r="D56" s="117"/>
      <c r="E56" s="117"/>
      <c r="F56" s="117"/>
      <c r="G56" s="117"/>
      <c r="H56" s="117"/>
      <c r="I56" s="117"/>
      <c r="J56" s="117"/>
      <c r="K56" s="117"/>
    </row>
    <row r="57" ht="12.75">
      <c r="A57" s="68"/>
    </row>
    <row r="58" spans="1:11" ht="13.5">
      <c r="A58" s="82"/>
      <c r="D58" s="81" t="s">
        <v>9</v>
      </c>
      <c r="E58" s="81" t="s">
        <v>84</v>
      </c>
      <c r="F58" s="115" t="s">
        <v>88</v>
      </c>
      <c r="G58" s="115"/>
      <c r="H58" s="115"/>
      <c r="I58" s="115"/>
      <c r="K58" s="81"/>
    </row>
    <row r="59" spans="1:11" ht="12.75">
      <c r="A59" s="80"/>
      <c r="D59" s="77" t="s">
        <v>17</v>
      </c>
      <c r="E59" s="77" t="s">
        <v>85</v>
      </c>
      <c r="F59" s="77" t="s">
        <v>89</v>
      </c>
      <c r="G59" s="79" t="s">
        <v>90</v>
      </c>
      <c r="H59" s="78"/>
      <c r="I59" s="77" t="s">
        <v>91</v>
      </c>
      <c r="K59" s="96"/>
    </row>
    <row r="60" spans="2:11" ht="12.75">
      <c r="B60" s="73"/>
      <c r="C60" s="73"/>
      <c r="D60" s="74">
        <v>0.39</v>
      </c>
      <c r="E60" s="74">
        <v>0.1</v>
      </c>
      <c r="F60" s="74">
        <v>0.41</v>
      </c>
      <c r="G60" s="76">
        <v>0.0875</v>
      </c>
      <c r="H60" s="75"/>
      <c r="I60" s="74">
        <v>0.0125</v>
      </c>
      <c r="K60" s="74"/>
    </row>
    <row r="61" spans="2:11" ht="12.75">
      <c r="B61" s="73"/>
      <c r="C61" s="73"/>
      <c r="D61" s="73"/>
      <c r="E61" s="71"/>
      <c r="F61" s="72"/>
      <c r="G61" s="70"/>
      <c r="H61" s="71"/>
      <c r="I61" s="70"/>
      <c r="J61" s="70"/>
      <c r="K61" s="70"/>
    </row>
    <row r="62" spans="1:11" s="69" customFormat="1" ht="12.75">
      <c r="A62" s="118" t="s">
        <v>43</v>
      </c>
      <c r="B62" s="119"/>
      <c r="C62" s="119"/>
      <c r="D62" s="119"/>
      <c r="E62" s="119"/>
      <c r="F62" s="119"/>
      <c r="G62" s="119"/>
      <c r="H62" s="119"/>
      <c r="I62" s="119"/>
      <c r="J62" s="119"/>
      <c r="K62" s="119"/>
    </row>
    <row r="63" spans="1:6" ht="9" customHeight="1">
      <c r="A63" s="68"/>
      <c r="E63" s="63"/>
      <c r="F63" s="64"/>
    </row>
    <row r="64" spans="1:11" ht="52.5" customHeight="1">
      <c r="A64" s="120" t="s">
        <v>124</v>
      </c>
      <c r="B64" s="121"/>
      <c r="C64" s="121"/>
      <c r="D64" s="121"/>
      <c r="E64" s="121"/>
      <c r="F64" s="121"/>
      <c r="G64" s="121"/>
      <c r="H64" s="121"/>
      <c r="I64" s="121"/>
      <c r="J64" s="121"/>
      <c r="K64" s="121"/>
    </row>
    <row r="65" spans="1:6" ht="12.75">
      <c r="A65" s="64"/>
      <c r="E65" s="63"/>
      <c r="F65" s="64"/>
    </row>
    <row r="66" spans="2:5" ht="12.75">
      <c r="B66" s="68" t="s">
        <v>44</v>
      </c>
      <c r="C66" s="68"/>
      <c r="D66" s="68"/>
      <c r="E66" s="64">
        <v>440789</v>
      </c>
    </row>
    <row r="67" spans="2:5" ht="12.75">
      <c r="B67" s="68" t="s">
        <v>45</v>
      </c>
      <c r="C67" s="68"/>
      <c r="D67" s="68"/>
      <c r="E67" s="64">
        <v>160388</v>
      </c>
    </row>
    <row r="68" spans="2:5" ht="12.75">
      <c r="B68" s="64" t="s">
        <v>46</v>
      </c>
      <c r="E68" s="64">
        <v>200392</v>
      </c>
    </row>
    <row r="69" ht="12.75">
      <c r="E69" s="64" t="s">
        <v>39</v>
      </c>
    </row>
    <row r="70" spans="1:6" s="113" customFormat="1" ht="15" customHeight="1">
      <c r="A70" s="112" t="s">
        <v>98</v>
      </c>
      <c r="F70" s="114"/>
    </row>
  </sheetData>
  <sheetProtection/>
  <mergeCells count="12">
    <mergeCell ref="A1:K1"/>
    <mergeCell ref="A2:K2"/>
    <mergeCell ref="A3:K3"/>
    <mergeCell ref="A4:K4"/>
    <mergeCell ref="A5:K5"/>
    <mergeCell ref="A8:K8"/>
    <mergeCell ref="I10:K10"/>
    <mergeCell ref="A31:K31"/>
    <mergeCell ref="A56:K56"/>
    <mergeCell ref="F58:I58"/>
    <mergeCell ref="A62:K62"/>
    <mergeCell ref="A64:K64"/>
  </mergeCells>
  <hyperlinks>
    <hyperlink ref="A4" r:id="rId1" display="www.batavia-downs.com"/>
  </hyperlinks>
  <printOptions/>
  <pageMargins left="0.25" right="0.25" top="0.75" bottom="0.5" header="0.5" footer="0.5"/>
  <pageSetup fitToHeight="1" fitToWidth="1" horizontalDpi="600" verticalDpi="600" orientation="portrait" scale="81"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L70"/>
  <sheetViews>
    <sheetView zoomScalePageLayoutView="0" workbookViewId="0" topLeftCell="A1">
      <selection activeCell="G27" sqref="G27"/>
    </sheetView>
  </sheetViews>
  <sheetFormatPr defaultColWidth="9.140625" defaultRowHeight="12.75"/>
  <cols>
    <col min="1" max="1" width="9.28125" style="66" customWidth="1"/>
    <col min="2" max="2" width="16.00390625" style="64" customWidth="1"/>
    <col min="3" max="3" width="13.140625" style="64" customWidth="1"/>
    <col min="4" max="4" width="14.421875" style="64" bestFit="1" customWidth="1"/>
    <col min="5" max="5" width="12.7109375" style="64" customWidth="1"/>
    <col min="6" max="6" width="10.57421875" style="65" customWidth="1"/>
    <col min="7" max="7" width="10.57421875" style="64" customWidth="1"/>
    <col min="8" max="8" width="2.421875" style="64" customWidth="1"/>
    <col min="9" max="9" width="12.421875" style="64" customWidth="1"/>
    <col min="10" max="10" width="12.8515625" style="64" customWidth="1"/>
    <col min="11" max="11" width="13.7109375" style="64" customWidth="1"/>
    <col min="12" max="12" width="12.7109375" style="63" customWidth="1"/>
    <col min="13" max="16384" width="9.140625" style="63" customWidth="1"/>
  </cols>
  <sheetData>
    <row r="1" spans="1:11" ht="18">
      <c r="A1" s="122" t="s">
        <v>100</v>
      </c>
      <c r="B1" s="122"/>
      <c r="C1" s="122"/>
      <c r="D1" s="122"/>
      <c r="E1" s="122"/>
      <c r="F1" s="122"/>
      <c r="G1" s="122"/>
      <c r="H1" s="122"/>
      <c r="I1" s="122"/>
      <c r="J1" s="122"/>
      <c r="K1" s="122"/>
    </row>
    <row r="2" spans="1:11" ht="15">
      <c r="A2" s="123" t="s">
        <v>0</v>
      </c>
      <c r="B2" s="123"/>
      <c r="C2" s="123"/>
      <c r="D2" s="123"/>
      <c r="E2" s="123"/>
      <c r="F2" s="123"/>
      <c r="G2" s="123"/>
      <c r="H2" s="123"/>
      <c r="I2" s="123"/>
      <c r="J2" s="123"/>
      <c r="K2" s="123"/>
    </row>
    <row r="3" spans="1:11" s="101" customFormat="1" ht="15">
      <c r="A3" s="123" t="s">
        <v>1</v>
      </c>
      <c r="B3" s="123"/>
      <c r="C3" s="123"/>
      <c r="D3" s="123"/>
      <c r="E3" s="123"/>
      <c r="F3" s="123"/>
      <c r="G3" s="123"/>
      <c r="H3" s="123"/>
      <c r="I3" s="123"/>
      <c r="J3" s="123"/>
      <c r="K3" s="123"/>
    </row>
    <row r="4" spans="1:11" s="101" customFormat="1" ht="14.25">
      <c r="A4" s="124" t="s">
        <v>2</v>
      </c>
      <c r="B4" s="124"/>
      <c r="C4" s="124"/>
      <c r="D4" s="124"/>
      <c r="E4" s="124"/>
      <c r="F4" s="124"/>
      <c r="G4" s="124"/>
      <c r="H4" s="124"/>
      <c r="I4" s="124"/>
      <c r="J4" s="124"/>
      <c r="K4" s="124"/>
    </row>
    <row r="5" spans="1:11" s="101" customFormat="1" ht="14.25">
      <c r="A5" s="125" t="s">
        <v>3</v>
      </c>
      <c r="B5" s="125"/>
      <c r="C5" s="125"/>
      <c r="D5" s="125"/>
      <c r="E5" s="125"/>
      <c r="F5" s="125"/>
      <c r="G5" s="125"/>
      <c r="H5" s="125"/>
      <c r="I5" s="125"/>
      <c r="J5" s="125"/>
      <c r="K5" s="125"/>
    </row>
    <row r="6" spans="1:11" s="101" customFormat="1" ht="14.25">
      <c r="A6" s="106"/>
      <c r="B6" s="106"/>
      <c r="C6" s="106"/>
      <c r="D6" s="106"/>
      <c r="E6" s="106"/>
      <c r="F6" s="106"/>
      <c r="G6" s="106"/>
      <c r="H6" s="106"/>
      <c r="I6" s="106"/>
      <c r="J6" s="106"/>
      <c r="K6" s="106"/>
    </row>
    <row r="7" spans="1:11" s="101" customFormat="1" ht="12.75">
      <c r="A7" s="66"/>
      <c r="B7" s="104"/>
      <c r="C7" s="104"/>
      <c r="D7" s="104"/>
      <c r="E7" s="102"/>
      <c r="F7" s="103"/>
      <c r="G7" s="102"/>
      <c r="H7" s="102"/>
      <c r="I7" s="102"/>
      <c r="J7" s="102"/>
      <c r="K7" s="102"/>
    </row>
    <row r="8" spans="1:11" s="105" customFormat="1" ht="14.25" customHeight="1">
      <c r="A8" s="116" t="s">
        <v>123</v>
      </c>
      <c r="B8" s="117"/>
      <c r="C8" s="117"/>
      <c r="D8" s="117"/>
      <c r="E8" s="117"/>
      <c r="F8" s="117"/>
      <c r="G8" s="117"/>
      <c r="H8" s="117"/>
      <c r="I8" s="117"/>
      <c r="J8" s="117"/>
      <c r="K8" s="117"/>
    </row>
    <row r="9" spans="1:11" s="101" customFormat="1" ht="9" customHeight="1">
      <c r="A9" s="66"/>
      <c r="B9" s="104"/>
      <c r="C9" s="104"/>
      <c r="D9" s="104"/>
      <c r="E9" s="102"/>
      <c r="F9" s="103"/>
      <c r="G9" s="102"/>
      <c r="H9" s="102"/>
      <c r="I9" s="102"/>
      <c r="J9" s="102"/>
      <c r="K9" s="102"/>
    </row>
    <row r="10" spans="1:11" s="101" customFormat="1" ht="12.75">
      <c r="A10" s="66"/>
      <c r="B10" s="102"/>
      <c r="C10" s="102"/>
      <c r="D10" s="102"/>
      <c r="E10" s="102"/>
      <c r="F10" s="103"/>
      <c r="G10" s="102"/>
      <c r="H10" s="102"/>
      <c r="I10" s="115" t="s">
        <v>5</v>
      </c>
      <c r="J10" s="115"/>
      <c r="K10" s="115"/>
    </row>
    <row r="11" spans="1:11" s="101" customFormat="1" ht="12.75">
      <c r="A11" s="66"/>
      <c r="B11" s="102"/>
      <c r="C11" s="102"/>
      <c r="D11" s="102"/>
      <c r="E11" s="102"/>
      <c r="F11" s="103"/>
      <c r="G11" s="102"/>
      <c r="H11" s="102"/>
      <c r="I11" s="102"/>
      <c r="J11" s="102"/>
      <c r="K11" s="102"/>
    </row>
    <row r="12" spans="1:11" s="95" customFormat="1" ht="12">
      <c r="A12" s="100"/>
      <c r="B12" s="81" t="s">
        <v>6</v>
      </c>
      <c r="C12" s="81" t="s">
        <v>72</v>
      </c>
      <c r="D12" s="81" t="s">
        <v>6</v>
      </c>
      <c r="E12" s="81"/>
      <c r="F12" s="99" t="s">
        <v>7</v>
      </c>
      <c r="G12" s="81" t="s">
        <v>8</v>
      </c>
      <c r="H12" s="81"/>
      <c r="I12" s="81" t="s">
        <v>9</v>
      </c>
      <c r="J12" s="81" t="s">
        <v>84</v>
      </c>
      <c r="K12" s="81" t="s">
        <v>83</v>
      </c>
    </row>
    <row r="13" spans="1:11" s="95" customFormat="1" ht="12">
      <c r="A13" s="98" t="s">
        <v>11</v>
      </c>
      <c r="B13" s="77" t="s">
        <v>12</v>
      </c>
      <c r="C13" s="77" t="s">
        <v>19</v>
      </c>
      <c r="D13" s="77" t="s">
        <v>13</v>
      </c>
      <c r="E13" s="77" t="s">
        <v>14</v>
      </c>
      <c r="F13" s="97" t="s">
        <v>15</v>
      </c>
      <c r="G13" s="77" t="s">
        <v>16</v>
      </c>
      <c r="H13" s="96"/>
      <c r="I13" s="77" t="s">
        <v>17</v>
      </c>
      <c r="J13" s="77" t="s">
        <v>85</v>
      </c>
      <c r="K13" s="77" t="s">
        <v>18</v>
      </c>
    </row>
    <row r="15" spans="1:12" ht="12.75">
      <c r="A15" s="66">
        <v>43922</v>
      </c>
      <c r="B15" s="64">
        <v>0</v>
      </c>
      <c r="C15" s="64">
        <v>0</v>
      </c>
      <c r="D15" s="64">
        <f aca="true" t="shared" si="0" ref="D15:D26">IF(ISBLANK(B15),"",B15-C15-E15)</f>
        <v>0</v>
      </c>
      <c r="E15" s="64">
        <v>0</v>
      </c>
      <c r="F15" s="65">
        <v>0</v>
      </c>
      <c r="G15" s="64">
        <v>0</v>
      </c>
      <c r="H15" s="107"/>
      <c r="I15" s="64">
        <v>0</v>
      </c>
      <c r="J15" s="64">
        <v>0</v>
      </c>
      <c r="K15" s="64">
        <v>0</v>
      </c>
      <c r="L15" s="65"/>
    </row>
    <row r="16" spans="1:12" ht="12.75">
      <c r="A16" s="66">
        <v>43952</v>
      </c>
      <c r="B16" s="64">
        <v>0</v>
      </c>
      <c r="C16" s="64">
        <v>0</v>
      </c>
      <c r="D16" s="64">
        <f t="shared" si="0"/>
        <v>0</v>
      </c>
      <c r="E16" s="64">
        <v>0</v>
      </c>
      <c r="F16" s="65">
        <v>0</v>
      </c>
      <c r="G16" s="64">
        <v>0</v>
      </c>
      <c r="H16" s="107"/>
      <c r="I16" s="64">
        <v>0</v>
      </c>
      <c r="J16" s="64">
        <v>0</v>
      </c>
      <c r="K16" s="64">
        <v>0</v>
      </c>
      <c r="L16" s="65"/>
    </row>
    <row r="17" spans="1:12" ht="12.75">
      <c r="A17" s="66">
        <v>43983</v>
      </c>
      <c r="B17" s="64">
        <v>0</v>
      </c>
      <c r="C17" s="64">
        <v>0</v>
      </c>
      <c r="D17" s="64">
        <f>IF(ISBLANK(B17),"",B17-C17-E17)</f>
        <v>0</v>
      </c>
      <c r="E17" s="64">
        <v>0</v>
      </c>
      <c r="F17" s="65">
        <v>0</v>
      </c>
      <c r="G17" s="64">
        <v>0</v>
      </c>
      <c r="H17" s="107"/>
      <c r="I17" s="64">
        <v>0</v>
      </c>
      <c r="J17" s="64">
        <v>0</v>
      </c>
      <c r="K17" s="64">
        <v>0</v>
      </c>
      <c r="L17" s="65"/>
    </row>
    <row r="18" spans="1:12" ht="12.75">
      <c r="A18" s="66">
        <v>44013</v>
      </c>
      <c r="B18" s="64">
        <v>0</v>
      </c>
      <c r="C18" s="64">
        <v>0</v>
      </c>
      <c r="D18" s="64">
        <f>IF(ISBLANK(B18),"",B18-C18-E18)</f>
        <v>0</v>
      </c>
      <c r="E18" s="64">
        <v>0</v>
      </c>
      <c r="F18" s="65">
        <v>0</v>
      </c>
      <c r="G18" s="64">
        <v>0</v>
      </c>
      <c r="H18" s="107"/>
      <c r="I18" s="64">
        <v>0</v>
      </c>
      <c r="J18" s="64">
        <v>0</v>
      </c>
      <c r="K18" s="64">
        <v>0</v>
      </c>
      <c r="L18" s="65"/>
    </row>
    <row r="19" spans="1:12" ht="12.75">
      <c r="A19" s="66">
        <v>44044</v>
      </c>
      <c r="B19" s="64">
        <v>0</v>
      </c>
      <c r="C19" s="64">
        <v>0</v>
      </c>
      <c r="D19" s="64">
        <f>IF(ISBLANK(B19),"",B19-C19-E19)</f>
        <v>0</v>
      </c>
      <c r="E19" s="64">
        <v>0</v>
      </c>
      <c r="F19" s="65">
        <v>0</v>
      </c>
      <c r="G19" s="64">
        <v>0</v>
      </c>
      <c r="H19" s="107"/>
      <c r="I19" s="64">
        <v>0</v>
      </c>
      <c r="J19" s="64">
        <v>0</v>
      </c>
      <c r="K19" s="64">
        <v>0</v>
      </c>
      <c r="L19" s="111"/>
    </row>
    <row r="20" spans="1:12" ht="12.75">
      <c r="A20" s="66">
        <v>44075</v>
      </c>
      <c r="B20" s="64">
        <v>39788287.370000005</v>
      </c>
      <c r="C20" s="64">
        <v>245016.54000000004</v>
      </c>
      <c r="D20" s="64">
        <f t="shared" si="0"/>
        <v>36387580.010000005</v>
      </c>
      <c r="E20" s="64">
        <v>3155690.8200000003</v>
      </c>
      <c r="F20" s="65">
        <f>8820/22</f>
        <v>400.90909090909093</v>
      </c>
      <c r="G20" s="64">
        <f>_xlfn.IFERROR((E20/F20/22)," ")</f>
        <v>357.788074829932</v>
      </c>
      <c r="H20" s="107"/>
      <c r="I20" s="64">
        <v>1230719.4198000003</v>
      </c>
      <c r="J20" s="64">
        <v>315569.07999999996</v>
      </c>
      <c r="K20" s="64">
        <v>1609402.3182000006</v>
      </c>
      <c r="L20" s="65"/>
    </row>
    <row r="21" spans="1:12" ht="12.75">
      <c r="A21" s="66">
        <v>44105</v>
      </c>
      <c r="B21" s="64">
        <v>56691980.26</v>
      </c>
      <c r="C21" s="64">
        <v>611279.34</v>
      </c>
      <c r="D21" s="64">
        <f t="shared" si="0"/>
        <v>52004023.8</v>
      </c>
      <c r="E21" s="64">
        <v>4076677.12</v>
      </c>
      <c r="F21" s="65">
        <v>421.25</v>
      </c>
      <c r="G21" s="64">
        <f>_xlfn.IFERROR((E21/F21/31)," ")</f>
        <v>312.17973542643824</v>
      </c>
      <c r="H21" s="107"/>
      <c r="I21" s="64">
        <v>1589904.08</v>
      </c>
      <c r="J21" s="64">
        <v>407667.75</v>
      </c>
      <c r="K21" s="64">
        <v>2079105.33</v>
      </c>
      <c r="L21" s="65"/>
    </row>
    <row r="22" spans="1:12" ht="12.75">
      <c r="A22" s="66">
        <v>44136</v>
      </c>
      <c r="B22" s="64">
        <v>48811604.03</v>
      </c>
      <c r="C22" s="64">
        <v>643008.1399999999</v>
      </c>
      <c r="D22" s="64">
        <f t="shared" si="0"/>
        <v>44791608.03</v>
      </c>
      <c r="E22" s="64">
        <v>3376987.860000001</v>
      </c>
      <c r="F22" s="65">
        <v>424.8</v>
      </c>
      <c r="G22" s="64">
        <f>_xlfn.IFERROR((E22/F22/30)," ")</f>
        <v>264.9864924670434</v>
      </c>
      <c r="H22" s="107"/>
      <c r="I22" s="64">
        <v>1317025.2654</v>
      </c>
      <c r="J22" s="64">
        <v>337698.81000000006</v>
      </c>
      <c r="K22" s="64">
        <v>1722263.8086</v>
      </c>
      <c r="L22" s="65"/>
    </row>
    <row r="23" spans="1:12" ht="12.75">
      <c r="A23" s="66">
        <v>44166</v>
      </c>
      <c r="B23" s="64">
        <v>43449198.92000001</v>
      </c>
      <c r="C23" s="64">
        <v>605971.4700000001</v>
      </c>
      <c r="D23" s="64">
        <f t="shared" si="0"/>
        <v>39838962.58000001</v>
      </c>
      <c r="E23" s="64">
        <v>3004264.8700000006</v>
      </c>
      <c r="F23" s="65">
        <v>440.13</v>
      </c>
      <c r="G23" s="64">
        <f>_xlfn.IFERROR((E23/F23/31)," ")</f>
        <v>220.18896689614436</v>
      </c>
      <c r="H23" s="107"/>
      <c r="I23" s="64">
        <v>1171663.2993000003</v>
      </c>
      <c r="J23" s="64">
        <v>300426.48999999993</v>
      </c>
      <c r="K23" s="64">
        <v>1532175.0887000002</v>
      </c>
      <c r="L23" s="65"/>
    </row>
    <row r="24" spans="1:12" ht="12.75">
      <c r="A24" s="66">
        <v>44197</v>
      </c>
      <c r="B24" s="64">
        <v>52763503.74000002</v>
      </c>
      <c r="C24" s="64">
        <v>577603.5599999999</v>
      </c>
      <c r="D24" s="64">
        <f t="shared" si="0"/>
        <v>48384402.83000001</v>
      </c>
      <c r="E24" s="64">
        <v>3801497.3500000006</v>
      </c>
      <c r="F24" s="65">
        <v>462</v>
      </c>
      <c r="G24" s="64">
        <f>_xlfn.IFERROR((E24/F24/31)," ")</f>
        <v>265.43062072336267</v>
      </c>
      <c r="H24" s="107"/>
      <c r="I24" s="64">
        <v>1482583.9664999999</v>
      </c>
      <c r="J24" s="64">
        <v>380149.74000000005</v>
      </c>
      <c r="K24" s="64">
        <v>1938763.6385000004</v>
      </c>
      <c r="L24" s="65"/>
    </row>
    <row r="25" spans="1:12" ht="12.75">
      <c r="A25" s="66">
        <v>44228</v>
      </c>
      <c r="B25" s="64">
        <v>48861947.410000004</v>
      </c>
      <c r="C25" s="64">
        <v>492116.8599999999</v>
      </c>
      <c r="D25" s="64">
        <f t="shared" si="0"/>
        <v>44941643.25000001</v>
      </c>
      <c r="E25" s="64">
        <v>3428187.3</v>
      </c>
      <c r="F25" s="65">
        <f>12936/28</f>
        <v>462</v>
      </c>
      <c r="G25" s="64">
        <f>_xlfn.IFERROR((E25/F25/28)," ")</f>
        <v>265.01138682745824</v>
      </c>
      <c r="H25" s="107"/>
      <c r="I25" s="64">
        <v>1336993.0469999996</v>
      </c>
      <c r="J25" s="64">
        <v>342818.75000000006</v>
      </c>
      <c r="K25" s="64">
        <v>1748375.5029999996</v>
      </c>
      <c r="L25" s="65"/>
    </row>
    <row r="26" spans="1:12" ht="12.75">
      <c r="A26" s="66">
        <v>44256</v>
      </c>
      <c r="B26" s="64">
        <v>72505273.27</v>
      </c>
      <c r="C26" s="64">
        <v>672434.5299999999</v>
      </c>
      <c r="D26" s="64">
        <f t="shared" si="0"/>
        <v>66596270.809999995</v>
      </c>
      <c r="E26" s="64">
        <v>5236567.93</v>
      </c>
      <c r="F26" s="65">
        <v>463</v>
      </c>
      <c r="G26" s="64">
        <f>_xlfn.IFERROR((E26/F26/31)," ")</f>
        <v>364.8413523305232</v>
      </c>
      <c r="H26" s="107"/>
      <c r="I26" s="64">
        <v>2042261.492700001</v>
      </c>
      <c r="J26" s="64">
        <v>523656.77999999997</v>
      </c>
      <c r="K26" s="64">
        <v>2670649.6443000003</v>
      </c>
      <c r="L26" s="65"/>
    </row>
    <row r="27" spans="1:11" ht="13.5" thickBot="1">
      <c r="A27" s="94" t="s">
        <v>20</v>
      </c>
      <c r="B27" s="92">
        <f>SUM(B15:B26)</f>
        <v>362871795</v>
      </c>
      <c r="C27" s="92">
        <f>SUM(C15:C26)</f>
        <v>3847430.44</v>
      </c>
      <c r="D27" s="92">
        <f>SUM(D15:D26)</f>
        <v>332944491.31</v>
      </c>
      <c r="E27" s="92">
        <f>SUM(E15:E26)</f>
        <v>26079873.250000004</v>
      </c>
      <c r="F27" s="62">
        <f>SUM(F20:F26)/COUNT(F20:F26)</f>
        <v>439.1555844155844</v>
      </c>
      <c r="G27" s="92">
        <f>E27/F27/180</f>
        <v>329.92449570016345</v>
      </c>
      <c r="H27" s="93"/>
      <c r="I27" s="92">
        <f>SUM(I15:I26)</f>
        <v>10171150.570700001</v>
      </c>
      <c r="J27" s="92">
        <f>SUM(J15:J26)</f>
        <v>2607987.4</v>
      </c>
      <c r="K27" s="92">
        <f>SUM(K15:K26)</f>
        <v>13300735.3313</v>
      </c>
    </row>
    <row r="28" spans="2:11" ht="10.5" customHeight="1" thickTop="1">
      <c r="B28" s="91"/>
      <c r="C28" s="91"/>
      <c r="D28" s="91"/>
      <c r="E28" s="91"/>
      <c r="I28" s="91"/>
      <c r="J28" s="91"/>
      <c r="K28" s="91"/>
    </row>
    <row r="29" spans="1:11" s="88" customFormat="1" ht="12.75">
      <c r="A29" s="90"/>
      <c r="B29" s="89"/>
      <c r="C29" s="89">
        <f>_xlfn.IFERROR(C27/B27,"")</f>
        <v>0.010602726618639511</v>
      </c>
      <c r="D29" s="89">
        <f>_xlfn.IFERROR(D27/B27,"")</f>
        <v>0.917526509080156</v>
      </c>
      <c r="E29" s="89">
        <f>_xlfn.IFERROR(E27/B27,"")</f>
        <v>0.07187076430120452</v>
      </c>
      <c r="I29" s="89">
        <f>_xlfn.IFERROR(I27/$E$27,"")</f>
        <v>0.3900000001227</v>
      </c>
      <c r="J29" s="89">
        <f>_xlfn.IFERROR(J27/$E$27,"")</f>
        <v>0.10000000287578083</v>
      </c>
      <c r="K29" s="89">
        <f>_xlfn.IFERROR(K27/$E$27,"")</f>
        <v>0.5099999989953938</v>
      </c>
    </row>
    <row r="31" spans="1:11" s="69" customFormat="1" ht="12.75">
      <c r="A31" s="116" t="s">
        <v>21</v>
      </c>
      <c r="B31" s="117"/>
      <c r="C31" s="117"/>
      <c r="D31" s="117"/>
      <c r="E31" s="117"/>
      <c r="F31" s="117"/>
      <c r="G31" s="117"/>
      <c r="H31" s="117"/>
      <c r="I31" s="117"/>
      <c r="J31" s="117"/>
      <c r="K31" s="117"/>
    </row>
    <row r="32" ht="12.75">
      <c r="A32" s="68"/>
    </row>
    <row r="33" spans="1:11" s="49" customFormat="1" ht="12.75" customHeight="1">
      <c r="A33" s="45" t="s">
        <v>22</v>
      </c>
      <c r="B33" s="46"/>
      <c r="C33" s="57" t="s">
        <v>94</v>
      </c>
      <c r="D33" s="58"/>
      <c r="E33" s="58"/>
      <c r="F33" s="58"/>
      <c r="G33" s="58"/>
      <c r="H33" s="58"/>
      <c r="I33" s="58"/>
      <c r="J33" s="58"/>
      <c r="K33" s="58"/>
    </row>
    <row r="34" spans="1:11" s="49" customFormat="1" ht="12.75" customHeight="1">
      <c r="A34" s="45"/>
      <c r="B34" s="46"/>
      <c r="C34" s="57" t="s">
        <v>95</v>
      </c>
      <c r="D34" s="58"/>
      <c r="E34" s="58"/>
      <c r="F34" s="58"/>
      <c r="G34" s="58"/>
      <c r="H34" s="58"/>
      <c r="I34" s="58"/>
      <c r="J34" s="58"/>
      <c r="K34" s="58"/>
    </row>
    <row r="35" spans="1:11" ht="6" customHeight="1">
      <c r="A35" s="86"/>
      <c r="B35" s="71"/>
      <c r="C35" s="71"/>
      <c r="D35" s="87"/>
      <c r="E35" s="87"/>
      <c r="F35" s="87"/>
      <c r="G35" s="87"/>
      <c r="H35" s="87"/>
      <c r="I35" s="87"/>
      <c r="J35" s="87"/>
      <c r="K35" s="87"/>
    </row>
    <row r="36" spans="1:11" ht="12.75">
      <c r="A36" s="86" t="s">
        <v>97</v>
      </c>
      <c r="B36" s="71"/>
      <c r="C36" s="71" t="s">
        <v>87</v>
      </c>
      <c r="D36" s="71"/>
      <c r="E36" s="71"/>
      <c r="F36" s="71"/>
      <c r="G36" s="71"/>
      <c r="H36" s="71"/>
      <c r="I36" s="71"/>
      <c r="J36" s="71"/>
      <c r="K36" s="71"/>
    </row>
    <row r="37" spans="1:11" ht="6" customHeight="1">
      <c r="A37" s="86"/>
      <c r="B37" s="71"/>
      <c r="C37" s="71"/>
      <c r="D37" s="71"/>
      <c r="E37" s="71"/>
      <c r="F37" s="71"/>
      <c r="G37" s="71"/>
      <c r="H37" s="71"/>
      <c r="I37" s="71"/>
      <c r="J37" s="71"/>
      <c r="K37" s="71"/>
    </row>
    <row r="38" spans="1:11" ht="12.75">
      <c r="A38" s="86" t="s">
        <v>23</v>
      </c>
      <c r="B38" s="71"/>
      <c r="C38" s="57" t="s">
        <v>101</v>
      </c>
      <c r="D38" s="71"/>
      <c r="E38" s="71"/>
      <c r="F38" s="71"/>
      <c r="G38" s="71"/>
      <c r="H38" s="71"/>
      <c r="I38" s="71"/>
      <c r="J38" s="71"/>
      <c r="K38" s="71"/>
    </row>
    <row r="39" spans="1:11" ht="6" customHeight="1">
      <c r="A39" s="86"/>
      <c r="B39" s="71"/>
      <c r="C39" s="71"/>
      <c r="D39" s="71"/>
      <c r="E39" s="71"/>
      <c r="F39" s="71"/>
      <c r="G39" s="71"/>
      <c r="H39" s="71"/>
      <c r="I39" s="71"/>
      <c r="J39" s="71"/>
      <c r="K39" s="71"/>
    </row>
    <row r="40" spans="1:11" ht="12.75">
      <c r="A40" s="86" t="s">
        <v>25</v>
      </c>
      <c r="B40" s="71"/>
      <c r="C40" s="71" t="s">
        <v>64</v>
      </c>
      <c r="D40" s="71"/>
      <c r="E40" s="71"/>
      <c r="F40" s="72"/>
      <c r="G40" s="71"/>
      <c r="H40" s="71"/>
      <c r="I40" s="71"/>
      <c r="J40" s="71"/>
      <c r="K40" s="71"/>
    </row>
    <row r="41" spans="1:11" ht="12.75">
      <c r="A41" s="86"/>
      <c r="B41" s="71"/>
      <c r="C41" s="71" t="s">
        <v>63</v>
      </c>
      <c r="D41" s="71"/>
      <c r="E41" s="71"/>
      <c r="F41" s="72"/>
      <c r="G41" s="71"/>
      <c r="H41" s="71"/>
      <c r="I41" s="71"/>
      <c r="J41" s="71"/>
      <c r="K41" s="71"/>
    </row>
    <row r="42" spans="1:11" ht="6" customHeight="1">
      <c r="A42" s="86"/>
      <c r="B42" s="71"/>
      <c r="C42" s="71"/>
      <c r="D42" s="71"/>
      <c r="E42" s="71"/>
      <c r="F42" s="72"/>
      <c r="G42" s="71"/>
      <c r="H42" s="71"/>
      <c r="I42" s="71"/>
      <c r="J42" s="71"/>
      <c r="K42" s="71"/>
    </row>
    <row r="43" spans="1:11" ht="12.75">
      <c r="A43" s="86" t="s">
        <v>28</v>
      </c>
      <c r="B43" s="71"/>
      <c r="C43" s="71" t="s">
        <v>29</v>
      </c>
      <c r="D43" s="71"/>
      <c r="E43" s="71"/>
      <c r="F43" s="72"/>
      <c r="G43" s="71"/>
      <c r="H43" s="71"/>
      <c r="I43" s="71"/>
      <c r="J43" s="71"/>
      <c r="K43" s="71"/>
    </row>
    <row r="44" spans="1:11" ht="6" customHeight="1">
      <c r="A44" s="86"/>
      <c r="B44" s="71"/>
      <c r="C44" s="71"/>
      <c r="D44" s="71"/>
      <c r="E44" s="71"/>
      <c r="F44" s="72"/>
      <c r="G44" s="71"/>
      <c r="H44" s="71"/>
      <c r="I44" s="71"/>
      <c r="J44" s="71"/>
      <c r="K44" s="71"/>
    </row>
    <row r="45" spans="1:11" s="49" customFormat="1" ht="12.75">
      <c r="A45" s="45" t="s">
        <v>74</v>
      </c>
      <c r="B45" s="46"/>
      <c r="C45" s="46" t="s">
        <v>103</v>
      </c>
      <c r="D45" s="110"/>
      <c r="E45" s="48"/>
      <c r="F45" s="46"/>
      <c r="G45" s="46"/>
      <c r="H45" s="46"/>
      <c r="I45" s="46"/>
      <c r="J45" s="46"/>
      <c r="K45" s="46"/>
    </row>
    <row r="46" spans="1:11" s="49" customFormat="1" ht="12.75">
      <c r="A46" s="45"/>
      <c r="B46" s="46"/>
      <c r="C46" s="46" t="s">
        <v>81</v>
      </c>
      <c r="D46" s="110"/>
      <c r="E46" s="48"/>
      <c r="F46" s="46"/>
      <c r="G46" s="46"/>
      <c r="H46" s="46"/>
      <c r="I46" s="46"/>
      <c r="J46" s="46"/>
      <c r="K46" s="46"/>
    </row>
    <row r="47" spans="1:11" s="49" customFormat="1" ht="12.75">
      <c r="A47" s="45"/>
      <c r="B47" s="46"/>
      <c r="C47" s="46" t="s">
        <v>82</v>
      </c>
      <c r="D47" s="110"/>
      <c r="E47" s="48"/>
      <c r="F47" s="46"/>
      <c r="G47" s="46"/>
      <c r="H47" s="46"/>
      <c r="I47" s="46"/>
      <c r="J47" s="46"/>
      <c r="K47" s="46"/>
    </row>
    <row r="48" spans="1:11" s="49" customFormat="1" ht="5.25" customHeight="1">
      <c r="A48" s="45"/>
      <c r="B48" s="46"/>
      <c r="C48" s="46"/>
      <c r="D48" s="110"/>
      <c r="E48" s="48"/>
      <c r="F48" s="46"/>
      <c r="G48" s="46"/>
      <c r="H48" s="46"/>
      <c r="I48" s="46"/>
      <c r="J48" s="46"/>
      <c r="K48" s="46"/>
    </row>
    <row r="49" spans="1:11" s="49" customFormat="1" ht="14.25" customHeight="1">
      <c r="A49" s="45"/>
      <c r="B49" s="46"/>
      <c r="C49" s="23" t="s">
        <v>120</v>
      </c>
      <c r="D49" s="110"/>
      <c r="E49" s="48"/>
      <c r="F49" s="46"/>
      <c r="G49" s="46"/>
      <c r="H49" s="46"/>
      <c r="I49" s="46"/>
      <c r="J49" s="46"/>
      <c r="K49" s="46"/>
    </row>
    <row r="50" spans="1:11" s="49" customFormat="1" ht="12.75">
      <c r="A50" s="45"/>
      <c r="B50" s="46"/>
      <c r="C50" s="23" t="s">
        <v>119</v>
      </c>
      <c r="D50" s="110"/>
      <c r="E50" s="48"/>
      <c r="F50" s="46"/>
      <c r="G50" s="46"/>
      <c r="H50" s="46"/>
      <c r="I50" s="46"/>
      <c r="J50" s="46"/>
      <c r="K50" s="46"/>
    </row>
    <row r="51" spans="1:11" s="49" customFormat="1" ht="12.75">
      <c r="A51" s="45"/>
      <c r="B51" s="46"/>
      <c r="C51" s="23" t="s">
        <v>121</v>
      </c>
      <c r="D51" s="110"/>
      <c r="E51" s="48"/>
      <c r="F51" s="46"/>
      <c r="G51" s="46"/>
      <c r="H51" s="46"/>
      <c r="I51" s="46"/>
      <c r="J51" s="46"/>
      <c r="K51" s="46"/>
    </row>
    <row r="52" spans="1:11" ht="6" customHeight="1">
      <c r="A52" s="86"/>
      <c r="B52" s="71"/>
      <c r="C52" s="71"/>
      <c r="D52" s="71"/>
      <c r="E52" s="71"/>
      <c r="F52" s="72"/>
      <c r="G52" s="71"/>
      <c r="H52" s="71"/>
      <c r="I52" s="71"/>
      <c r="J52" s="71"/>
      <c r="K52" s="71"/>
    </row>
    <row r="53" spans="1:11" s="49" customFormat="1" ht="12.75">
      <c r="A53" s="45" t="s">
        <v>86</v>
      </c>
      <c r="B53" s="46"/>
      <c r="C53" s="46" t="s">
        <v>79</v>
      </c>
      <c r="D53" s="110"/>
      <c r="E53" s="48"/>
      <c r="F53" s="46"/>
      <c r="G53" s="46"/>
      <c r="H53" s="46"/>
      <c r="I53" s="46"/>
      <c r="J53" s="46"/>
      <c r="K53" s="46"/>
    </row>
    <row r="54" spans="1:11" s="49" customFormat="1" ht="12.75">
      <c r="A54" s="50"/>
      <c r="B54" s="46"/>
      <c r="C54" s="46" t="s">
        <v>80</v>
      </c>
      <c r="D54" s="110"/>
      <c r="E54" s="48"/>
      <c r="F54" s="46"/>
      <c r="G54" s="46"/>
      <c r="H54" s="46"/>
      <c r="I54" s="46"/>
      <c r="J54" s="46"/>
      <c r="K54" s="46"/>
    </row>
    <row r="55" spans="1:11" ht="12.75">
      <c r="A55" s="85"/>
      <c r="B55" s="83"/>
      <c r="C55" s="83"/>
      <c r="D55" s="83"/>
      <c r="E55" s="83"/>
      <c r="F55" s="84"/>
      <c r="G55" s="83"/>
      <c r="H55" s="83"/>
      <c r="I55" s="83"/>
      <c r="J55" s="83"/>
      <c r="K55" s="83"/>
    </row>
    <row r="56" spans="1:11" s="69" customFormat="1" ht="12.75">
      <c r="A56" s="116" t="s">
        <v>31</v>
      </c>
      <c r="B56" s="117"/>
      <c r="C56" s="117"/>
      <c r="D56" s="117"/>
      <c r="E56" s="117"/>
      <c r="F56" s="117"/>
      <c r="G56" s="117"/>
      <c r="H56" s="117"/>
      <c r="I56" s="117"/>
      <c r="J56" s="117"/>
      <c r="K56" s="117"/>
    </row>
    <row r="57" ht="12.75">
      <c r="A57" s="68"/>
    </row>
    <row r="58" spans="1:11" ht="13.5">
      <c r="A58" s="82"/>
      <c r="D58" s="81" t="s">
        <v>9</v>
      </c>
      <c r="E58" s="81" t="s">
        <v>84</v>
      </c>
      <c r="F58" s="115" t="s">
        <v>88</v>
      </c>
      <c r="G58" s="115"/>
      <c r="H58" s="115"/>
      <c r="I58" s="115"/>
      <c r="K58" s="81"/>
    </row>
    <row r="59" spans="1:11" ht="12.75">
      <c r="A59" s="80"/>
      <c r="D59" s="77" t="s">
        <v>17</v>
      </c>
      <c r="E59" s="77" t="s">
        <v>85</v>
      </c>
      <c r="F59" s="77" t="s">
        <v>89</v>
      </c>
      <c r="G59" s="79" t="s">
        <v>90</v>
      </c>
      <c r="H59" s="78"/>
      <c r="I59" s="77" t="s">
        <v>91</v>
      </c>
      <c r="K59" s="96"/>
    </row>
    <row r="60" spans="2:11" ht="12.75">
      <c r="B60" s="73"/>
      <c r="C60" s="73"/>
      <c r="D60" s="74">
        <v>0.39</v>
      </c>
      <c r="E60" s="74">
        <v>0.1</v>
      </c>
      <c r="F60" s="74">
        <v>0.41</v>
      </c>
      <c r="G60" s="76">
        <v>0.0875</v>
      </c>
      <c r="H60" s="75"/>
      <c r="I60" s="74">
        <v>0.0125</v>
      </c>
      <c r="K60" s="74"/>
    </row>
    <row r="61" spans="2:11" ht="12.75">
      <c r="B61" s="73"/>
      <c r="C61" s="73"/>
      <c r="D61" s="73"/>
      <c r="E61" s="71"/>
      <c r="F61" s="72"/>
      <c r="G61" s="70"/>
      <c r="H61" s="71"/>
      <c r="I61" s="70"/>
      <c r="J61" s="70"/>
      <c r="K61" s="70"/>
    </row>
    <row r="62" spans="1:11" s="69" customFormat="1" ht="12.75">
      <c r="A62" s="118" t="s">
        <v>43</v>
      </c>
      <c r="B62" s="119"/>
      <c r="C62" s="119"/>
      <c r="D62" s="119"/>
      <c r="E62" s="119"/>
      <c r="F62" s="119"/>
      <c r="G62" s="119"/>
      <c r="H62" s="119"/>
      <c r="I62" s="119"/>
      <c r="J62" s="119"/>
      <c r="K62" s="119"/>
    </row>
    <row r="63" spans="1:6" ht="9" customHeight="1">
      <c r="A63" s="68"/>
      <c r="E63" s="63"/>
      <c r="F63" s="64"/>
    </row>
    <row r="64" spans="1:11" ht="52.5" customHeight="1">
      <c r="A64" s="120" t="s">
        <v>122</v>
      </c>
      <c r="B64" s="121"/>
      <c r="C64" s="121"/>
      <c r="D64" s="121"/>
      <c r="E64" s="121"/>
      <c r="F64" s="121"/>
      <c r="G64" s="121"/>
      <c r="H64" s="121"/>
      <c r="I64" s="121"/>
      <c r="J64" s="121"/>
      <c r="K64" s="121"/>
    </row>
    <row r="65" spans="1:6" ht="12.75">
      <c r="A65" s="64"/>
      <c r="E65" s="63"/>
      <c r="F65" s="64"/>
    </row>
    <row r="66" spans="2:5" ht="12.75">
      <c r="B66" s="68" t="s">
        <v>44</v>
      </c>
      <c r="C66" s="68"/>
      <c r="D66" s="68"/>
      <c r="E66" s="64">
        <v>440789</v>
      </c>
    </row>
    <row r="67" spans="2:5" ht="12.75">
      <c r="B67" s="68" t="s">
        <v>45</v>
      </c>
      <c r="C67" s="68"/>
      <c r="D67" s="68"/>
      <c r="E67" s="64">
        <v>160388</v>
      </c>
    </row>
    <row r="68" spans="2:5" ht="12.75">
      <c r="B68" s="64" t="s">
        <v>46</v>
      </c>
      <c r="E68" s="64">
        <v>200392</v>
      </c>
    </row>
    <row r="69" ht="12.75">
      <c r="E69" s="64" t="s">
        <v>39</v>
      </c>
    </row>
    <row r="70" spans="1:6" s="113" customFormat="1" ht="15" customHeight="1">
      <c r="A70" s="112" t="s">
        <v>98</v>
      </c>
      <c r="F70" s="114"/>
    </row>
  </sheetData>
  <sheetProtection/>
  <mergeCells count="12">
    <mergeCell ref="A1:K1"/>
    <mergeCell ref="A2:K2"/>
    <mergeCell ref="A3:K3"/>
    <mergeCell ref="A4:K4"/>
    <mergeCell ref="A5:K5"/>
    <mergeCell ref="A8:K8"/>
    <mergeCell ref="I10:K10"/>
    <mergeCell ref="A31:K31"/>
    <mergeCell ref="A56:K56"/>
    <mergeCell ref="F58:I58"/>
    <mergeCell ref="A62:K62"/>
    <mergeCell ref="A64:K64"/>
  </mergeCells>
  <hyperlinks>
    <hyperlink ref="A4" r:id="rId1" display="www.batavia-downs.com"/>
  </hyperlinks>
  <printOptions/>
  <pageMargins left="0.25" right="0.25" top="0.75" bottom="0.5" header="0.5" footer="0.5"/>
  <pageSetup fitToHeight="1" fitToWidth="1" horizontalDpi="600" verticalDpi="600" orientation="portrait" scale="81" r:id="rId3"/>
  <drawing r:id="rId2"/>
</worksheet>
</file>

<file path=xl/worksheets/sheet5.xml><?xml version="1.0" encoding="utf-8"?>
<worksheet xmlns="http://schemas.openxmlformats.org/spreadsheetml/2006/main" xmlns:r="http://schemas.openxmlformats.org/officeDocument/2006/relationships">
  <sheetPr>
    <pageSetUpPr fitToPage="1"/>
  </sheetPr>
  <dimension ref="A1:L70"/>
  <sheetViews>
    <sheetView zoomScalePageLayoutView="0" workbookViewId="0" topLeftCell="A1">
      <selection activeCell="F27" sqref="F27"/>
    </sheetView>
  </sheetViews>
  <sheetFormatPr defaultColWidth="9.140625" defaultRowHeight="12.75"/>
  <cols>
    <col min="1" max="1" width="9.28125" style="66" customWidth="1"/>
    <col min="2" max="2" width="16.00390625" style="64" customWidth="1"/>
    <col min="3" max="3" width="13.140625" style="64" customWidth="1"/>
    <col min="4" max="4" width="14.421875" style="64" bestFit="1" customWidth="1"/>
    <col min="5" max="5" width="12.7109375" style="64" customWidth="1"/>
    <col min="6" max="6" width="10.57421875" style="65" customWidth="1"/>
    <col min="7" max="7" width="10.57421875" style="64" customWidth="1"/>
    <col min="8" max="8" width="2.421875" style="64" customWidth="1"/>
    <col min="9" max="9" width="12.421875" style="64" customWidth="1"/>
    <col min="10" max="10" width="12.8515625" style="64" customWidth="1"/>
    <col min="11" max="11" width="13.7109375" style="64" customWidth="1"/>
    <col min="12" max="12" width="12.7109375" style="63" customWidth="1"/>
    <col min="13" max="16384" width="9.140625" style="63" customWidth="1"/>
  </cols>
  <sheetData>
    <row r="1" spans="1:11" ht="18">
      <c r="A1" s="122" t="s">
        <v>100</v>
      </c>
      <c r="B1" s="122"/>
      <c r="C1" s="122"/>
      <c r="D1" s="122"/>
      <c r="E1" s="122"/>
      <c r="F1" s="122"/>
      <c r="G1" s="122"/>
      <c r="H1" s="122"/>
      <c r="I1" s="122"/>
      <c r="J1" s="122"/>
      <c r="K1" s="122"/>
    </row>
    <row r="2" spans="1:11" ht="15">
      <c r="A2" s="123" t="s">
        <v>0</v>
      </c>
      <c r="B2" s="123"/>
      <c r="C2" s="123"/>
      <c r="D2" s="123"/>
      <c r="E2" s="123"/>
      <c r="F2" s="123"/>
      <c r="G2" s="123"/>
      <c r="H2" s="123"/>
      <c r="I2" s="123"/>
      <c r="J2" s="123"/>
      <c r="K2" s="123"/>
    </row>
    <row r="3" spans="1:11" s="101" customFormat="1" ht="15">
      <c r="A3" s="123" t="s">
        <v>1</v>
      </c>
      <c r="B3" s="123"/>
      <c r="C3" s="123"/>
      <c r="D3" s="123"/>
      <c r="E3" s="123"/>
      <c r="F3" s="123"/>
      <c r="G3" s="123"/>
      <c r="H3" s="123"/>
      <c r="I3" s="123"/>
      <c r="J3" s="123"/>
      <c r="K3" s="123"/>
    </row>
    <row r="4" spans="1:11" s="101" customFormat="1" ht="14.25">
      <c r="A4" s="124" t="s">
        <v>2</v>
      </c>
      <c r="B4" s="124"/>
      <c r="C4" s="124"/>
      <c r="D4" s="124"/>
      <c r="E4" s="124"/>
      <c r="F4" s="124"/>
      <c r="G4" s="124"/>
      <c r="H4" s="124"/>
      <c r="I4" s="124"/>
      <c r="J4" s="124"/>
      <c r="K4" s="124"/>
    </row>
    <row r="5" spans="1:11" s="101" customFormat="1" ht="14.25">
      <c r="A5" s="125" t="s">
        <v>3</v>
      </c>
      <c r="B5" s="125"/>
      <c r="C5" s="125"/>
      <c r="D5" s="125"/>
      <c r="E5" s="125"/>
      <c r="F5" s="125"/>
      <c r="G5" s="125"/>
      <c r="H5" s="125"/>
      <c r="I5" s="125"/>
      <c r="J5" s="125"/>
      <c r="K5" s="125"/>
    </row>
    <row r="6" spans="1:11" s="101" customFormat="1" ht="14.25">
      <c r="A6" s="106"/>
      <c r="B6" s="106"/>
      <c r="C6" s="106"/>
      <c r="D6" s="106"/>
      <c r="E6" s="106"/>
      <c r="F6" s="106"/>
      <c r="G6" s="106"/>
      <c r="H6" s="106"/>
      <c r="I6" s="106"/>
      <c r="J6" s="106"/>
      <c r="K6" s="106"/>
    </row>
    <row r="7" spans="1:11" s="101" customFormat="1" ht="12.75">
      <c r="A7" s="66"/>
      <c r="B7" s="104"/>
      <c r="C7" s="104"/>
      <c r="D7" s="104"/>
      <c r="E7" s="102"/>
      <c r="F7" s="103"/>
      <c r="G7" s="102"/>
      <c r="H7" s="102"/>
      <c r="I7" s="102"/>
      <c r="J7" s="102"/>
      <c r="K7" s="102"/>
    </row>
    <row r="8" spans="1:11" s="105" customFormat="1" ht="14.25" customHeight="1">
      <c r="A8" s="116" t="s">
        <v>117</v>
      </c>
      <c r="B8" s="117"/>
      <c r="C8" s="117"/>
      <c r="D8" s="117"/>
      <c r="E8" s="117"/>
      <c r="F8" s="117"/>
      <c r="G8" s="117"/>
      <c r="H8" s="117"/>
      <c r="I8" s="117"/>
      <c r="J8" s="117"/>
      <c r="K8" s="117"/>
    </row>
    <row r="9" spans="1:11" s="101" customFormat="1" ht="9" customHeight="1">
      <c r="A9" s="66"/>
      <c r="B9" s="104"/>
      <c r="C9" s="104"/>
      <c r="D9" s="104"/>
      <c r="E9" s="102"/>
      <c r="F9" s="103"/>
      <c r="G9" s="102"/>
      <c r="H9" s="102"/>
      <c r="I9" s="102"/>
      <c r="J9" s="102"/>
      <c r="K9" s="102"/>
    </row>
    <row r="10" spans="1:11" s="101" customFormat="1" ht="12.75">
      <c r="A10" s="66"/>
      <c r="B10" s="102"/>
      <c r="C10" s="102"/>
      <c r="D10" s="102"/>
      <c r="E10" s="102"/>
      <c r="F10" s="103"/>
      <c r="G10" s="102"/>
      <c r="H10" s="102"/>
      <c r="I10" s="115" t="s">
        <v>5</v>
      </c>
      <c r="J10" s="115"/>
      <c r="K10" s="115"/>
    </row>
    <row r="11" spans="1:11" s="101" customFormat="1" ht="12.75">
      <c r="A11" s="66"/>
      <c r="B11" s="102"/>
      <c r="C11" s="102"/>
      <c r="D11" s="102"/>
      <c r="E11" s="102"/>
      <c r="F11" s="103"/>
      <c r="G11" s="102"/>
      <c r="H11" s="102"/>
      <c r="I11" s="102"/>
      <c r="J11" s="102"/>
      <c r="K11" s="102"/>
    </row>
    <row r="12" spans="1:11" s="95" customFormat="1" ht="12">
      <c r="A12" s="100"/>
      <c r="B12" s="81" t="s">
        <v>6</v>
      </c>
      <c r="C12" s="81" t="s">
        <v>72</v>
      </c>
      <c r="D12" s="81" t="s">
        <v>6</v>
      </c>
      <c r="E12" s="81"/>
      <c r="F12" s="99" t="s">
        <v>7</v>
      </c>
      <c r="G12" s="81" t="s">
        <v>8</v>
      </c>
      <c r="H12" s="81"/>
      <c r="I12" s="81" t="s">
        <v>9</v>
      </c>
      <c r="J12" s="81" t="s">
        <v>84</v>
      </c>
      <c r="K12" s="81" t="s">
        <v>83</v>
      </c>
    </row>
    <row r="13" spans="1:11" s="95" customFormat="1" ht="12">
      <c r="A13" s="98" t="s">
        <v>11</v>
      </c>
      <c r="B13" s="77" t="s">
        <v>12</v>
      </c>
      <c r="C13" s="77" t="s">
        <v>19</v>
      </c>
      <c r="D13" s="77" t="s">
        <v>13</v>
      </c>
      <c r="E13" s="77" t="s">
        <v>14</v>
      </c>
      <c r="F13" s="97" t="s">
        <v>15</v>
      </c>
      <c r="G13" s="77" t="s">
        <v>16</v>
      </c>
      <c r="H13" s="96"/>
      <c r="I13" s="77" t="s">
        <v>17</v>
      </c>
      <c r="J13" s="77" t="s">
        <v>85</v>
      </c>
      <c r="K13" s="77" t="s">
        <v>18</v>
      </c>
    </row>
    <row r="15" spans="1:12" ht="12.75">
      <c r="A15" s="66">
        <v>43556</v>
      </c>
      <c r="B15" s="64">
        <v>71225449.44</v>
      </c>
      <c r="C15" s="64">
        <f>642468.48-20903.9</f>
        <v>621564.58</v>
      </c>
      <c r="D15" s="64">
        <f aca="true" t="shared" si="0" ref="D15:D26">IF(ISBLANK(B15),"",B15-C15-E15)</f>
        <v>65163382.86</v>
      </c>
      <c r="E15" s="64">
        <v>5440502</v>
      </c>
      <c r="F15" s="65">
        <f>25252/30</f>
        <v>841.7333333333333</v>
      </c>
      <c r="G15" s="64">
        <f>_xlfn.IFERROR((E15/F15/30)," ")</f>
        <v>215.44836052589892</v>
      </c>
      <c r="H15" s="107"/>
      <c r="I15" s="64">
        <v>2159734.23</v>
      </c>
      <c r="J15" s="64">
        <v>544050.21</v>
      </c>
      <c r="K15" s="64">
        <v>2736717.584</v>
      </c>
      <c r="L15" s="65"/>
    </row>
    <row r="16" spans="1:12" ht="12.75">
      <c r="A16" s="66">
        <v>43586</v>
      </c>
      <c r="B16" s="64">
        <v>76563847.51</v>
      </c>
      <c r="C16" s="64">
        <f>709028.05-26336.8</f>
        <v>682691.25</v>
      </c>
      <c r="D16" s="64">
        <f t="shared" si="0"/>
        <v>70318621.08000001</v>
      </c>
      <c r="E16" s="64">
        <v>5562535.18</v>
      </c>
      <c r="F16" s="65">
        <f>26464/31</f>
        <v>853.6774193548387</v>
      </c>
      <c r="G16" s="64">
        <f>_xlfn.IFERROR((E16/F16/31)," ")</f>
        <v>210.19253249697704</v>
      </c>
      <c r="H16" s="107"/>
      <c r="I16" s="64">
        <v>2169388.72</v>
      </c>
      <c r="J16" s="64">
        <v>556253.52</v>
      </c>
      <c r="K16" s="64">
        <v>2836892.94</v>
      </c>
      <c r="L16" s="65"/>
    </row>
    <row r="17" spans="1:12" ht="12.75">
      <c r="A17" s="66">
        <v>43617</v>
      </c>
      <c r="B17" s="64">
        <v>69373292.4</v>
      </c>
      <c r="C17" s="64">
        <f>693330.57-23004.49</f>
        <v>670326.08</v>
      </c>
      <c r="D17" s="64">
        <f t="shared" si="0"/>
        <v>63370061.35000001</v>
      </c>
      <c r="E17" s="64">
        <v>5332904.97</v>
      </c>
      <c r="F17" s="65">
        <f>25816/30</f>
        <v>860.5333333333333</v>
      </c>
      <c r="G17" s="64">
        <f>_xlfn.IFERROR((E17/F17/30)," ")</f>
        <v>206.5736353424233</v>
      </c>
      <c r="H17" s="107"/>
      <c r="I17" s="64">
        <v>2079832.94</v>
      </c>
      <c r="J17" s="64">
        <v>533290.49</v>
      </c>
      <c r="K17" s="64">
        <v>2719781.54</v>
      </c>
      <c r="L17" s="65"/>
    </row>
    <row r="18" spans="1:12" ht="12.75">
      <c r="A18" s="66">
        <v>43647</v>
      </c>
      <c r="B18" s="64">
        <v>70675341.89</v>
      </c>
      <c r="C18" s="64">
        <f>784437.5-27005.16</f>
        <v>757432.34</v>
      </c>
      <c r="D18" s="64">
        <f t="shared" si="0"/>
        <v>64656924.86</v>
      </c>
      <c r="E18" s="64">
        <v>5260984.69</v>
      </c>
      <c r="F18" s="65">
        <f>26846/31</f>
        <v>866</v>
      </c>
      <c r="G18" s="64">
        <f aca="true" t="shared" si="1" ref="G18:G24">_xlfn.IFERROR((E18/F18/31)," ")</f>
        <v>195.9690341205394</v>
      </c>
      <c r="H18" s="107"/>
      <c r="I18" s="64">
        <v>2051784.03</v>
      </c>
      <c r="J18" s="64">
        <v>526098.48</v>
      </c>
      <c r="K18" s="64">
        <v>2683102.18</v>
      </c>
      <c r="L18" s="65"/>
    </row>
    <row r="19" spans="1:12" ht="12.75">
      <c r="A19" s="66">
        <v>43678</v>
      </c>
      <c r="B19" s="64">
        <v>74395771.04</v>
      </c>
      <c r="C19" s="64">
        <v>771090.13</v>
      </c>
      <c r="D19" s="64">
        <f t="shared" si="0"/>
        <v>68053970.31000002</v>
      </c>
      <c r="E19" s="64">
        <v>5570710.6</v>
      </c>
      <c r="F19" s="65">
        <f>26897/31</f>
        <v>867.6451612903226</v>
      </c>
      <c r="G19" s="64">
        <f t="shared" si="1"/>
        <v>207.11271145480907</v>
      </c>
      <c r="H19" s="107"/>
      <c r="I19" s="64">
        <v>2172577.134</v>
      </c>
      <c r="J19" s="64">
        <v>557071.08</v>
      </c>
      <c r="K19" s="64">
        <v>2841062.4159999997</v>
      </c>
      <c r="L19" s="111"/>
    </row>
    <row r="20" spans="1:12" ht="12.75">
      <c r="A20" s="66">
        <v>43709</v>
      </c>
      <c r="B20" s="64">
        <v>69471629.84</v>
      </c>
      <c r="C20" s="64">
        <v>698708.6</v>
      </c>
      <c r="D20" s="64">
        <f t="shared" si="0"/>
        <v>63626284.34</v>
      </c>
      <c r="E20" s="64">
        <v>5146636.900000005</v>
      </c>
      <c r="F20" s="65">
        <f>26054/30</f>
        <v>868.4666666666667</v>
      </c>
      <c r="G20" s="64">
        <f>_xlfn.IFERROR((E20/F20/30)," ")</f>
        <v>197.53730329316056</v>
      </c>
      <c r="H20" s="107"/>
      <c r="I20" s="64">
        <v>2007188.391000002</v>
      </c>
      <c r="J20" s="64">
        <v>514663.6900000005</v>
      </c>
      <c r="K20" s="64">
        <v>2624784.8190000025</v>
      </c>
      <c r="L20" s="65"/>
    </row>
    <row r="21" spans="1:12" ht="12.75">
      <c r="A21" s="66">
        <v>43739</v>
      </c>
      <c r="B21" s="64">
        <v>68776126.94</v>
      </c>
      <c r="C21" s="64">
        <v>738692.88</v>
      </c>
      <c r="D21" s="64">
        <f t="shared" si="0"/>
        <v>62981193.780000016</v>
      </c>
      <c r="E21" s="64">
        <v>5056240.279999989</v>
      </c>
      <c r="F21" s="65">
        <f>26939/31</f>
        <v>869</v>
      </c>
      <c r="G21" s="64">
        <f t="shared" si="1"/>
        <v>187.69220386799768</v>
      </c>
      <c r="H21" s="107"/>
      <c r="I21" s="64">
        <v>1971933.7014000001</v>
      </c>
      <c r="J21" s="64">
        <v>505624.06999999995</v>
      </c>
      <c r="K21" s="64">
        <v>2578682.532600001</v>
      </c>
      <c r="L21" s="65"/>
    </row>
    <row r="22" spans="1:12" ht="12.75">
      <c r="A22" s="66">
        <v>43770</v>
      </c>
      <c r="B22" s="64">
        <v>69976171.4</v>
      </c>
      <c r="C22" s="64">
        <v>706643.75</v>
      </c>
      <c r="D22" s="64">
        <f t="shared" si="0"/>
        <v>64132112.150000006</v>
      </c>
      <c r="E22" s="64">
        <v>5137415.5</v>
      </c>
      <c r="F22" s="65">
        <f>26070/30</f>
        <v>869</v>
      </c>
      <c r="G22" s="64">
        <f>_xlfn.IFERROR((E22/F22/30)," ")</f>
        <v>197.06235136171844</v>
      </c>
      <c r="H22" s="107"/>
      <c r="I22" s="64">
        <v>2003592.045</v>
      </c>
      <c r="J22" s="64">
        <v>513741.5799999999</v>
      </c>
      <c r="K22" s="64">
        <v>2620081.9050000003</v>
      </c>
      <c r="L22" s="65"/>
    </row>
    <row r="23" spans="1:12" ht="12.75">
      <c r="A23" s="66">
        <v>43800</v>
      </c>
      <c r="B23" s="64">
        <v>64331634.33999999</v>
      </c>
      <c r="C23" s="64">
        <v>721614.1099999999</v>
      </c>
      <c r="D23" s="64">
        <f t="shared" si="0"/>
        <v>59027632.13999999</v>
      </c>
      <c r="E23" s="64">
        <v>4582388.089999999</v>
      </c>
      <c r="F23" s="65">
        <f>26939/31</f>
        <v>869</v>
      </c>
      <c r="G23" s="64">
        <f t="shared" si="1"/>
        <v>170.10238279074943</v>
      </c>
      <c r="H23" s="107"/>
      <c r="I23" s="64">
        <v>1787131.3551000005</v>
      </c>
      <c r="J23" s="64">
        <v>458238.81999999995</v>
      </c>
      <c r="K23" s="64">
        <v>2337017.9259</v>
      </c>
      <c r="L23" s="65"/>
    </row>
    <row r="24" spans="1:12" ht="12.75">
      <c r="A24" s="66">
        <v>43831</v>
      </c>
      <c r="B24" s="64">
        <v>70976459.5</v>
      </c>
      <c r="C24" s="64">
        <v>796601.98</v>
      </c>
      <c r="D24" s="64">
        <f t="shared" si="0"/>
        <v>65146659.169999994</v>
      </c>
      <c r="E24" s="64">
        <v>5033198.35</v>
      </c>
      <c r="F24" s="65">
        <f>26939/31</f>
        <v>869</v>
      </c>
      <c r="G24" s="64">
        <f t="shared" si="1"/>
        <v>186.8368666245963</v>
      </c>
      <c r="H24" s="107"/>
      <c r="I24" s="64">
        <v>1962947.36</v>
      </c>
      <c r="J24" s="64">
        <v>503319.85</v>
      </c>
      <c r="K24" s="64">
        <v>2566931.16</v>
      </c>
      <c r="L24" s="65"/>
    </row>
    <row r="25" spans="1:12" ht="12.75">
      <c r="A25" s="66">
        <v>43862</v>
      </c>
      <c r="B25" s="64">
        <v>71496689.71</v>
      </c>
      <c r="C25" s="64">
        <v>713614.7100000001</v>
      </c>
      <c r="D25" s="64">
        <f t="shared" si="0"/>
        <v>65523263.980000004</v>
      </c>
      <c r="E25" s="64">
        <v>5259811.019999999</v>
      </c>
      <c r="F25" s="65">
        <f>25201/29</f>
        <v>869</v>
      </c>
      <c r="G25" s="64">
        <f>_xlfn.IFERROR((E25/F25/29)," ")</f>
        <v>208.71437720725365</v>
      </c>
      <c r="H25" s="107"/>
      <c r="I25" s="64">
        <v>2051326.2977999991</v>
      </c>
      <c r="J25" s="64">
        <v>525981.1200000001</v>
      </c>
      <c r="K25" s="64">
        <v>2682503.6201999993</v>
      </c>
      <c r="L25" s="65"/>
    </row>
    <row r="26" spans="1:12" ht="12.75">
      <c r="A26" s="66">
        <v>43891</v>
      </c>
      <c r="B26" s="64">
        <v>38593005.41</v>
      </c>
      <c r="C26" s="64">
        <v>378945.0300000001</v>
      </c>
      <c r="D26" s="64">
        <f t="shared" si="0"/>
        <v>35509493.88999999</v>
      </c>
      <c r="E26" s="64">
        <v>2704566.49</v>
      </c>
      <c r="F26" s="65">
        <f>13904/16</f>
        <v>869</v>
      </c>
      <c r="G26" s="64">
        <f>_xlfn.IFERROR((E26/F26/16)," ")</f>
        <v>194.5171526179517</v>
      </c>
      <c r="H26" s="107"/>
      <c r="I26" s="64">
        <v>1054780.9311000004</v>
      </c>
      <c r="J26" s="64">
        <v>270456.64999999997</v>
      </c>
      <c r="K26" s="64">
        <v>1379328.9099</v>
      </c>
      <c r="L26" s="65"/>
    </row>
    <row r="27" spans="1:11" ht="13.5" thickBot="1">
      <c r="A27" s="94" t="s">
        <v>20</v>
      </c>
      <c r="B27" s="92">
        <f>SUM(B15:B26)</f>
        <v>815855419.4200001</v>
      </c>
      <c r="C27" s="92">
        <f>SUM(C15:C26)</f>
        <v>8257925.4399999995</v>
      </c>
      <c r="D27" s="92">
        <f>SUM(D15:D26)</f>
        <v>747509599.9100001</v>
      </c>
      <c r="E27" s="92">
        <f>SUM(E15:E26)</f>
        <v>60087894.069999985</v>
      </c>
      <c r="F27" s="62">
        <f>_xlfn.IFERROR(AVERAGE(F15:F26),"")</f>
        <v>864.3379928315412</v>
      </c>
      <c r="G27" s="92">
        <f>E27/F27/351</f>
        <v>198.05976691502008</v>
      </c>
      <c r="H27" s="93"/>
      <c r="I27" s="92">
        <f>SUM(I15:I26)</f>
        <v>23472217.135400005</v>
      </c>
      <c r="J27" s="92">
        <f>SUM(J15:J26)</f>
        <v>6008789.5600000005</v>
      </c>
      <c r="K27" s="92">
        <f>SUM(K15:K26)</f>
        <v>30606887.532600004</v>
      </c>
    </row>
    <row r="28" spans="2:11" ht="10.5" customHeight="1" thickTop="1">
      <c r="B28" s="91"/>
      <c r="C28" s="91"/>
      <c r="D28" s="91"/>
      <c r="E28" s="91"/>
      <c r="I28" s="91"/>
      <c r="J28" s="91"/>
      <c r="K28" s="91"/>
    </row>
    <row r="29" spans="1:11" s="88" customFormat="1" ht="12.75">
      <c r="A29" s="90"/>
      <c r="B29" s="89"/>
      <c r="C29" s="89">
        <f>_xlfn.IFERROR(C27/B27,"")</f>
        <v>0.010121800068289848</v>
      </c>
      <c r="D29" s="89">
        <f>_xlfn.IFERROR(D27/B27,"")</f>
        <v>0.9162280253545564</v>
      </c>
      <c r="E29" s="89">
        <f>_xlfn.IFERROR(E27/B27,"")</f>
        <v>0.07365017457715373</v>
      </c>
      <c r="I29" s="89">
        <f>_xlfn.IFERROR(I27/$E$27,"")</f>
        <v>0.3906313825552917</v>
      </c>
      <c r="J29" s="89">
        <f>_xlfn.IFERROR(J27/$E$27,"")</f>
        <v>0.10000000254627</v>
      </c>
      <c r="K29" s="89">
        <f>_xlfn.IFERROR(K27/$E$27,"")</f>
        <v>0.5093686175279202</v>
      </c>
    </row>
    <row r="31" spans="1:11" s="69" customFormat="1" ht="12.75">
      <c r="A31" s="116" t="s">
        <v>21</v>
      </c>
      <c r="B31" s="117"/>
      <c r="C31" s="117"/>
      <c r="D31" s="117"/>
      <c r="E31" s="117"/>
      <c r="F31" s="117"/>
      <c r="G31" s="117"/>
      <c r="H31" s="117"/>
      <c r="I31" s="117"/>
      <c r="J31" s="117"/>
      <c r="K31" s="117"/>
    </row>
    <row r="32" ht="12.75">
      <c r="A32" s="68"/>
    </row>
    <row r="33" spans="1:11" s="49" customFormat="1" ht="12.75" customHeight="1">
      <c r="A33" s="45" t="s">
        <v>22</v>
      </c>
      <c r="B33" s="46"/>
      <c r="C33" s="57" t="s">
        <v>94</v>
      </c>
      <c r="D33" s="58"/>
      <c r="E33" s="58"/>
      <c r="F33" s="58"/>
      <c r="G33" s="58"/>
      <c r="H33" s="58"/>
      <c r="I33" s="58"/>
      <c r="J33" s="58"/>
      <c r="K33" s="58"/>
    </row>
    <row r="34" spans="1:11" s="49" customFormat="1" ht="12.75" customHeight="1">
      <c r="A34" s="45"/>
      <c r="B34" s="46"/>
      <c r="C34" s="57" t="s">
        <v>95</v>
      </c>
      <c r="D34" s="58"/>
      <c r="E34" s="58"/>
      <c r="F34" s="58"/>
      <c r="G34" s="58"/>
      <c r="H34" s="58"/>
      <c r="I34" s="58"/>
      <c r="J34" s="58"/>
      <c r="K34" s="58"/>
    </row>
    <row r="35" spans="1:11" ht="6" customHeight="1">
      <c r="A35" s="86"/>
      <c r="B35" s="71"/>
      <c r="C35" s="71"/>
      <c r="D35" s="87"/>
      <c r="E35" s="87"/>
      <c r="F35" s="87"/>
      <c r="G35" s="87"/>
      <c r="H35" s="87"/>
      <c r="I35" s="87"/>
      <c r="J35" s="87"/>
      <c r="K35" s="87"/>
    </row>
    <row r="36" spans="1:11" ht="12.75">
      <c r="A36" s="86" t="s">
        <v>97</v>
      </c>
      <c r="B36" s="71"/>
      <c r="C36" s="71" t="s">
        <v>87</v>
      </c>
      <c r="D36" s="71"/>
      <c r="E36" s="71"/>
      <c r="F36" s="71"/>
      <c r="G36" s="71"/>
      <c r="H36" s="71"/>
      <c r="I36" s="71"/>
      <c r="J36" s="71"/>
      <c r="K36" s="71"/>
    </row>
    <row r="37" spans="1:11" ht="6" customHeight="1">
      <c r="A37" s="86"/>
      <c r="B37" s="71"/>
      <c r="C37" s="71"/>
      <c r="D37" s="71"/>
      <c r="E37" s="71"/>
      <c r="F37" s="71"/>
      <c r="G37" s="71"/>
      <c r="H37" s="71"/>
      <c r="I37" s="71"/>
      <c r="J37" s="71"/>
      <c r="K37" s="71"/>
    </row>
    <row r="38" spans="1:11" ht="12.75">
      <c r="A38" s="86" t="s">
        <v>23</v>
      </c>
      <c r="B38" s="71"/>
      <c r="C38" s="57" t="s">
        <v>101</v>
      </c>
      <c r="D38" s="71"/>
      <c r="E38" s="71"/>
      <c r="F38" s="71"/>
      <c r="G38" s="71"/>
      <c r="H38" s="71"/>
      <c r="I38" s="71"/>
      <c r="J38" s="71"/>
      <c r="K38" s="71"/>
    </row>
    <row r="39" spans="1:11" ht="6" customHeight="1">
      <c r="A39" s="86"/>
      <c r="B39" s="71"/>
      <c r="C39" s="71"/>
      <c r="D39" s="71"/>
      <c r="E39" s="71"/>
      <c r="F39" s="71"/>
      <c r="G39" s="71"/>
      <c r="H39" s="71"/>
      <c r="I39" s="71"/>
      <c r="J39" s="71"/>
      <c r="K39" s="71"/>
    </row>
    <row r="40" spans="1:11" ht="12.75">
      <c r="A40" s="86" t="s">
        <v>25</v>
      </c>
      <c r="B40" s="71"/>
      <c r="C40" s="71" t="s">
        <v>64</v>
      </c>
      <c r="D40" s="71"/>
      <c r="E40" s="71"/>
      <c r="F40" s="72"/>
      <c r="G40" s="71"/>
      <c r="H40" s="71"/>
      <c r="I40" s="71"/>
      <c r="J40" s="71"/>
      <c r="K40" s="71"/>
    </row>
    <row r="41" spans="1:11" ht="12.75">
      <c r="A41" s="86"/>
      <c r="B41" s="71"/>
      <c r="C41" s="71" t="s">
        <v>63</v>
      </c>
      <c r="D41" s="71"/>
      <c r="E41" s="71"/>
      <c r="F41" s="72"/>
      <c r="G41" s="71"/>
      <c r="H41" s="71"/>
      <c r="I41" s="71"/>
      <c r="J41" s="71"/>
      <c r="K41" s="71"/>
    </row>
    <row r="42" spans="1:11" ht="6" customHeight="1">
      <c r="A42" s="86"/>
      <c r="B42" s="71"/>
      <c r="C42" s="71"/>
      <c r="D42" s="71"/>
      <c r="E42" s="71"/>
      <c r="F42" s="72"/>
      <c r="G42" s="71"/>
      <c r="H42" s="71"/>
      <c r="I42" s="71"/>
      <c r="J42" s="71"/>
      <c r="K42" s="71"/>
    </row>
    <row r="43" spans="1:11" ht="12.75">
      <c r="A43" s="86" t="s">
        <v>28</v>
      </c>
      <c r="B43" s="71"/>
      <c r="C43" s="71" t="s">
        <v>29</v>
      </c>
      <c r="D43" s="71"/>
      <c r="E43" s="71"/>
      <c r="F43" s="72"/>
      <c r="G43" s="71"/>
      <c r="H43" s="71"/>
      <c r="I43" s="71"/>
      <c r="J43" s="71"/>
      <c r="K43" s="71"/>
    </row>
    <row r="44" spans="1:11" ht="6" customHeight="1">
      <c r="A44" s="86"/>
      <c r="B44" s="71"/>
      <c r="C44" s="71"/>
      <c r="D44" s="71"/>
      <c r="E44" s="71"/>
      <c r="F44" s="72"/>
      <c r="G44" s="71"/>
      <c r="H44" s="71"/>
      <c r="I44" s="71"/>
      <c r="J44" s="71"/>
      <c r="K44" s="71"/>
    </row>
    <row r="45" spans="1:11" s="49" customFormat="1" ht="12.75">
      <c r="A45" s="45" t="s">
        <v>74</v>
      </c>
      <c r="B45" s="46"/>
      <c r="C45" s="46" t="s">
        <v>103</v>
      </c>
      <c r="D45" s="110"/>
      <c r="E45" s="48"/>
      <c r="F45" s="46"/>
      <c r="G45" s="46"/>
      <c r="H45" s="46"/>
      <c r="I45" s="46"/>
      <c r="J45" s="46"/>
      <c r="K45" s="46"/>
    </row>
    <row r="46" spans="1:11" s="49" customFormat="1" ht="12.75">
      <c r="A46" s="45"/>
      <c r="B46" s="46"/>
      <c r="C46" s="46" t="s">
        <v>81</v>
      </c>
      <c r="D46" s="110"/>
      <c r="E46" s="48"/>
      <c r="F46" s="46"/>
      <c r="G46" s="46"/>
      <c r="H46" s="46"/>
      <c r="I46" s="46"/>
      <c r="J46" s="46"/>
      <c r="K46" s="46"/>
    </row>
    <row r="47" spans="1:11" s="49" customFormat="1" ht="12.75">
      <c r="A47" s="45"/>
      <c r="B47" s="46"/>
      <c r="C47" s="46" t="s">
        <v>82</v>
      </c>
      <c r="D47" s="110"/>
      <c r="E47" s="48"/>
      <c r="F47" s="46"/>
      <c r="G47" s="46"/>
      <c r="H47" s="46"/>
      <c r="I47" s="46"/>
      <c r="J47" s="46"/>
      <c r="K47" s="46"/>
    </row>
    <row r="48" spans="1:11" s="49" customFormat="1" ht="5.25" customHeight="1">
      <c r="A48" s="45"/>
      <c r="B48" s="46"/>
      <c r="C48" s="46"/>
      <c r="D48" s="110"/>
      <c r="E48" s="48"/>
      <c r="F48" s="46"/>
      <c r="G48" s="46"/>
      <c r="H48" s="46"/>
      <c r="I48" s="46"/>
      <c r="J48" s="46"/>
      <c r="K48" s="46"/>
    </row>
    <row r="49" spans="1:11" s="49" customFormat="1" ht="14.25" customHeight="1">
      <c r="A49" s="45"/>
      <c r="B49" s="46"/>
      <c r="C49" s="23" t="s">
        <v>120</v>
      </c>
      <c r="D49" s="110"/>
      <c r="E49" s="48"/>
      <c r="F49" s="46"/>
      <c r="G49" s="46"/>
      <c r="H49" s="46"/>
      <c r="I49" s="46"/>
      <c r="J49" s="46"/>
      <c r="K49" s="46"/>
    </row>
    <row r="50" spans="1:11" s="49" customFormat="1" ht="12.75">
      <c r="A50" s="45"/>
      <c r="B50" s="46"/>
      <c r="C50" s="23" t="s">
        <v>119</v>
      </c>
      <c r="D50" s="110"/>
      <c r="E50" s="48"/>
      <c r="F50" s="46"/>
      <c r="G50" s="46"/>
      <c r="H50" s="46"/>
      <c r="I50" s="46"/>
      <c r="J50" s="46"/>
      <c r="K50" s="46"/>
    </row>
    <row r="51" spans="1:11" s="49" customFormat="1" ht="12.75">
      <c r="A51" s="45"/>
      <c r="B51" s="46"/>
      <c r="C51" s="23" t="s">
        <v>121</v>
      </c>
      <c r="D51" s="110"/>
      <c r="E51" s="48"/>
      <c r="F51" s="46"/>
      <c r="G51" s="46"/>
      <c r="H51" s="46"/>
      <c r="I51" s="46"/>
      <c r="J51" s="46"/>
      <c r="K51" s="46"/>
    </row>
    <row r="52" spans="1:11" ht="6" customHeight="1">
      <c r="A52" s="86"/>
      <c r="B52" s="71"/>
      <c r="C52" s="71"/>
      <c r="D52" s="71"/>
      <c r="E52" s="71"/>
      <c r="F52" s="72"/>
      <c r="G52" s="71"/>
      <c r="H52" s="71"/>
      <c r="I52" s="71"/>
      <c r="J52" s="71"/>
      <c r="K52" s="71"/>
    </row>
    <row r="53" spans="1:11" s="49" customFormat="1" ht="12.75">
      <c r="A53" s="45" t="s">
        <v>86</v>
      </c>
      <c r="B53" s="46"/>
      <c r="C53" s="46" t="s">
        <v>79</v>
      </c>
      <c r="D53" s="110"/>
      <c r="E53" s="48"/>
      <c r="F53" s="46"/>
      <c r="G53" s="46"/>
      <c r="H53" s="46"/>
      <c r="I53" s="46"/>
      <c r="J53" s="46"/>
      <c r="K53" s="46"/>
    </row>
    <row r="54" spans="1:11" s="49" customFormat="1" ht="12.75">
      <c r="A54" s="50"/>
      <c r="B54" s="46"/>
      <c r="C54" s="46" t="s">
        <v>80</v>
      </c>
      <c r="D54" s="110"/>
      <c r="E54" s="48"/>
      <c r="F54" s="46"/>
      <c r="G54" s="46"/>
      <c r="H54" s="46"/>
      <c r="I54" s="46"/>
      <c r="J54" s="46"/>
      <c r="K54" s="46"/>
    </row>
    <row r="55" spans="1:11" ht="12.75">
      <c r="A55" s="85"/>
      <c r="B55" s="83"/>
      <c r="C55" s="83"/>
      <c r="D55" s="83"/>
      <c r="E55" s="83"/>
      <c r="F55" s="84"/>
      <c r="G55" s="83"/>
      <c r="H55" s="83"/>
      <c r="I55" s="83"/>
      <c r="J55" s="83"/>
      <c r="K55" s="83"/>
    </row>
    <row r="56" spans="1:11" s="69" customFormat="1" ht="12.75">
      <c r="A56" s="116" t="s">
        <v>31</v>
      </c>
      <c r="B56" s="117"/>
      <c r="C56" s="117"/>
      <c r="D56" s="117"/>
      <c r="E56" s="117"/>
      <c r="F56" s="117"/>
      <c r="G56" s="117"/>
      <c r="H56" s="117"/>
      <c r="I56" s="117"/>
      <c r="J56" s="117"/>
      <c r="K56" s="117"/>
    </row>
    <row r="57" ht="12.75">
      <c r="A57" s="68"/>
    </row>
    <row r="58" spans="1:11" ht="13.5">
      <c r="A58" s="82"/>
      <c r="D58" s="81" t="s">
        <v>9</v>
      </c>
      <c r="E58" s="81" t="s">
        <v>84</v>
      </c>
      <c r="F58" s="115" t="s">
        <v>88</v>
      </c>
      <c r="G58" s="115"/>
      <c r="H58" s="115"/>
      <c r="I58" s="115"/>
      <c r="K58" s="81"/>
    </row>
    <row r="59" spans="1:11" ht="12.75">
      <c r="A59" s="80"/>
      <c r="D59" s="77" t="s">
        <v>17</v>
      </c>
      <c r="E59" s="77" t="s">
        <v>85</v>
      </c>
      <c r="F59" s="77" t="s">
        <v>89</v>
      </c>
      <c r="G59" s="79" t="s">
        <v>90</v>
      </c>
      <c r="H59" s="78"/>
      <c r="I59" s="77" t="s">
        <v>91</v>
      </c>
      <c r="K59" s="96"/>
    </row>
    <row r="60" spans="2:11" ht="12.75">
      <c r="B60" s="73"/>
      <c r="C60" s="73"/>
      <c r="D60" s="74">
        <v>0.39</v>
      </c>
      <c r="E60" s="74">
        <v>0.1</v>
      </c>
      <c r="F60" s="74">
        <v>0.41</v>
      </c>
      <c r="G60" s="76">
        <v>0.0875</v>
      </c>
      <c r="H60" s="75"/>
      <c r="I60" s="74">
        <v>0.0125</v>
      </c>
      <c r="K60" s="74"/>
    </row>
    <row r="61" spans="2:11" ht="12.75">
      <c r="B61" s="73"/>
      <c r="C61" s="73"/>
      <c r="D61" s="73"/>
      <c r="E61" s="71"/>
      <c r="F61" s="72"/>
      <c r="G61" s="70"/>
      <c r="H61" s="71"/>
      <c r="I61" s="70"/>
      <c r="J61" s="70"/>
      <c r="K61" s="70"/>
    </row>
    <row r="62" spans="1:11" s="69" customFormat="1" ht="12.75">
      <c r="A62" s="118" t="s">
        <v>43</v>
      </c>
      <c r="B62" s="119"/>
      <c r="C62" s="119"/>
      <c r="D62" s="119"/>
      <c r="E62" s="119"/>
      <c r="F62" s="119"/>
      <c r="G62" s="119"/>
      <c r="H62" s="119"/>
      <c r="I62" s="119"/>
      <c r="J62" s="119"/>
      <c r="K62" s="119"/>
    </row>
    <row r="63" spans="1:6" ht="9" customHeight="1">
      <c r="A63" s="68"/>
      <c r="E63" s="63"/>
      <c r="F63" s="64"/>
    </row>
    <row r="64" spans="1:11" ht="52.5" customHeight="1">
      <c r="A64" s="120" t="s">
        <v>118</v>
      </c>
      <c r="B64" s="121"/>
      <c r="C64" s="121"/>
      <c r="D64" s="121"/>
      <c r="E64" s="121"/>
      <c r="F64" s="121"/>
      <c r="G64" s="121"/>
      <c r="H64" s="121"/>
      <c r="I64" s="121"/>
      <c r="J64" s="121"/>
      <c r="K64" s="121"/>
    </row>
    <row r="65" spans="1:6" ht="12.75">
      <c r="A65" s="64"/>
      <c r="E65" s="63"/>
      <c r="F65" s="64"/>
    </row>
    <row r="66" spans="2:5" ht="12.75">
      <c r="B66" s="68" t="s">
        <v>44</v>
      </c>
      <c r="C66" s="68"/>
      <c r="D66" s="68"/>
      <c r="E66" s="64">
        <v>440789</v>
      </c>
    </row>
    <row r="67" spans="2:5" ht="12.75">
      <c r="B67" s="68" t="s">
        <v>45</v>
      </c>
      <c r="C67" s="68"/>
      <c r="D67" s="68"/>
      <c r="E67" s="64">
        <v>160388</v>
      </c>
    </row>
    <row r="68" spans="2:5" ht="12.75">
      <c r="B68" s="64" t="s">
        <v>46</v>
      </c>
      <c r="E68" s="64">
        <v>200392</v>
      </c>
    </row>
    <row r="69" ht="12.75">
      <c r="E69" s="64" t="s">
        <v>39</v>
      </c>
    </row>
    <row r="70" ht="12.75">
      <c r="A70" s="67" t="s">
        <v>98</v>
      </c>
    </row>
  </sheetData>
  <sheetProtection/>
  <mergeCells count="12">
    <mergeCell ref="A1:K1"/>
    <mergeCell ref="A2:K2"/>
    <mergeCell ref="A3:K3"/>
    <mergeCell ref="A4:K4"/>
    <mergeCell ref="A5:K5"/>
    <mergeCell ref="A8:K8"/>
    <mergeCell ref="I10:K10"/>
    <mergeCell ref="A31:K31"/>
    <mergeCell ref="A56:K56"/>
    <mergeCell ref="F58:I58"/>
    <mergeCell ref="A62:K62"/>
    <mergeCell ref="A64:K64"/>
  </mergeCells>
  <hyperlinks>
    <hyperlink ref="A4" r:id="rId1" display="www.batavia-downs.com"/>
  </hyperlinks>
  <printOptions/>
  <pageMargins left="0.25" right="0.25" top="0.75" bottom="0.5" header="0.5" footer="0.5"/>
  <pageSetup fitToHeight="1" fitToWidth="1" horizontalDpi="600" verticalDpi="600" orientation="portrait" scale="81" r:id="rId3"/>
  <ignoredErrors>
    <ignoredError sqref="G16:G24 F22" formula="1"/>
  </ignoredErrors>
  <drawing r:id="rId2"/>
</worksheet>
</file>

<file path=xl/worksheets/sheet6.xml><?xml version="1.0" encoding="utf-8"?>
<worksheet xmlns="http://schemas.openxmlformats.org/spreadsheetml/2006/main" xmlns:r="http://schemas.openxmlformats.org/officeDocument/2006/relationships">
  <sheetPr>
    <pageSetUpPr fitToPage="1"/>
  </sheetPr>
  <dimension ref="A1:N76"/>
  <sheetViews>
    <sheetView zoomScalePageLayoutView="0" workbookViewId="0" topLeftCell="A4">
      <selection activeCell="F27" sqref="F27"/>
    </sheetView>
  </sheetViews>
  <sheetFormatPr defaultColWidth="9.140625" defaultRowHeight="12.75"/>
  <cols>
    <col min="1" max="1" width="9.28125" style="66" customWidth="1"/>
    <col min="2" max="2" width="16.00390625" style="64" customWidth="1"/>
    <col min="3" max="3" width="13.140625" style="64" customWidth="1"/>
    <col min="4" max="4" width="14.421875" style="64" bestFit="1" customWidth="1"/>
    <col min="5" max="5" width="12.7109375" style="64" customWidth="1"/>
    <col min="6" max="6" width="8.8515625" style="65" customWidth="1"/>
    <col min="7" max="7" width="10.28125" style="64" customWidth="1"/>
    <col min="8" max="8" width="1.421875" style="64" customWidth="1"/>
    <col min="9" max="9" width="12.421875" style="64" customWidth="1"/>
    <col min="10" max="10" width="12.8515625" style="64" customWidth="1"/>
    <col min="11" max="12" width="13.7109375" style="64" customWidth="1"/>
    <col min="13" max="13" width="13.28125" style="64" customWidth="1"/>
    <col min="14" max="14" width="12.7109375" style="63" customWidth="1"/>
    <col min="15" max="16384" width="9.140625" style="63" customWidth="1"/>
  </cols>
  <sheetData>
    <row r="1" spans="1:13" ht="18">
      <c r="A1" s="122" t="s">
        <v>100</v>
      </c>
      <c r="B1" s="122"/>
      <c r="C1" s="122"/>
      <c r="D1" s="122"/>
      <c r="E1" s="122"/>
      <c r="F1" s="122"/>
      <c r="G1" s="122"/>
      <c r="H1" s="122"/>
      <c r="I1" s="122"/>
      <c r="J1" s="122"/>
      <c r="K1" s="122"/>
      <c r="L1" s="122"/>
      <c r="M1" s="122"/>
    </row>
    <row r="2" spans="1:13" ht="15">
      <c r="A2" s="123" t="s">
        <v>0</v>
      </c>
      <c r="B2" s="123"/>
      <c r="C2" s="123"/>
      <c r="D2" s="123"/>
      <c r="E2" s="123"/>
      <c r="F2" s="123"/>
      <c r="G2" s="123"/>
      <c r="H2" s="123"/>
      <c r="I2" s="123"/>
      <c r="J2" s="123"/>
      <c r="K2" s="123"/>
      <c r="L2" s="123"/>
      <c r="M2" s="123"/>
    </row>
    <row r="3" spans="1:13" s="101" customFormat="1" ht="15">
      <c r="A3" s="123" t="s">
        <v>1</v>
      </c>
      <c r="B3" s="123"/>
      <c r="C3" s="123"/>
      <c r="D3" s="123"/>
      <c r="E3" s="123"/>
      <c r="F3" s="123"/>
      <c r="G3" s="123"/>
      <c r="H3" s="123"/>
      <c r="I3" s="123"/>
      <c r="J3" s="123"/>
      <c r="K3" s="123"/>
      <c r="L3" s="123"/>
      <c r="M3" s="123"/>
    </row>
    <row r="4" spans="1:13" s="101" customFormat="1" ht="14.25">
      <c r="A4" s="124" t="s">
        <v>2</v>
      </c>
      <c r="B4" s="124"/>
      <c r="C4" s="124"/>
      <c r="D4" s="124"/>
      <c r="E4" s="124"/>
      <c r="F4" s="124"/>
      <c r="G4" s="124"/>
      <c r="H4" s="124"/>
      <c r="I4" s="124"/>
      <c r="J4" s="124"/>
      <c r="K4" s="124"/>
      <c r="L4" s="124"/>
      <c r="M4" s="124"/>
    </row>
    <row r="5" spans="1:13" s="101" customFormat="1" ht="14.25">
      <c r="A5" s="125" t="s">
        <v>3</v>
      </c>
      <c r="B5" s="125"/>
      <c r="C5" s="125"/>
      <c r="D5" s="125"/>
      <c r="E5" s="125"/>
      <c r="F5" s="125"/>
      <c r="G5" s="125"/>
      <c r="H5" s="125"/>
      <c r="I5" s="125"/>
      <c r="J5" s="125"/>
      <c r="K5" s="125"/>
      <c r="L5" s="125"/>
      <c r="M5" s="125"/>
    </row>
    <row r="6" spans="1:13" s="101" customFormat="1" ht="14.25">
      <c r="A6" s="106"/>
      <c r="B6" s="106"/>
      <c r="C6" s="106"/>
      <c r="D6" s="106"/>
      <c r="E6" s="106"/>
      <c r="F6" s="106"/>
      <c r="G6" s="106"/>
      <c r="H6" s="106"/>
      <c r="I6" s="106"/>
      <c r="J6" s="106"/>
      <c r="K6" s="106"/>
      <c r="L6" s="106"/>
      <c r="M6" s="106"/>
    </row>
    <row r="7" spans="1:13" s="101" customFormat="1" ht="12.75">
      <c r="A7" s="66"/>
      <c r="B7" s="104"/>
      <c r="C7" s="104"/>
      <c r="D7" s="104"/>
      <c r="E7" s="102"/>
      <c r="F7" s="103"/>
      <c r="G7" s="102"/>
      <c r="H7" s="102"/>
      <c r="I7" s="102"/>
      <c r="J7" s="102"/>
      <c r="K7" s="102"/>
      <c r="L7" s="102"/>
      <c r="M7" s="102"/>
    </row>
    <row r="8" spans="1:13" s="105" customFormat="1" ht="14.25" customHeight="1">
      <c r="A8" s="116" t="s">
        <v>116</v>
      </c>
      <c r="B8" s="117"/>
      <c r="C8" s="117"/>
      <c r="D8" s="117"/>
      <c r="E8" s="117"/>
      <c r="F8" s="117"/>
      <c r="G8" s="117"/>
      <c r="H8" s="117"/>
      <c r="I8" s="117"/>
      <c r="J8" s="117"/>
      <c r="K8" s="117"/>
      <c r="L8" s="117"/>
      <c r="M8" s="126"/>
    </row>
    <row r="9" spans="1:13" s="101" customFormat="1" ht="9" customHeight="1">
      <c r="A9" s="66"/>
      <c r="B9" s="104"/>
      <c r="C9" s="104"/>
      <c r="D9" s="104"/>
      <c r="E9" s="102"/>
      <c r="F9" s="103"/>
      <c r="G9" s="102"/>
      <c r="H9" s="102"/>
      <c r="I9" s="102"/>
      <c r="J9" s="102"/>
      <c r="K9" s="102"/>
      <c r="L9" s="102"/>
      <c r="M9" s="102"/>
    </row>
    <row r="10" spans="1:13" s="101" customFormat="1" ht="12.75">
      <c r="A10" s="66"/>
      <c r="B10" s="102"/>
      <c r="C10" s="102"/>
      <c r="D10" s="102"/>
      <c r="E10" s="102"/>
      <c r="F10" s="103"/>
      <c r="G10" s="102"/>
      <c r="H10" s="102"/>
      <c r="I10" s="115" t="s">
        <v>5</v>
      </c>
      <c r="J10" s="115"/>
      <c r="K10" s="115"/>
      <c r="L10" s="115"/>
      <c r="M10" s="115"/>
    </row>
    <row r="11" spans="1:13" s="101" customFormat="1" ht="12.75">
      <c r="A11" s="66"/>
      <c r="B11" s="102"/>
      <c r="C11" s="102"/>
      <c r="D11" s="102"/>
      <c r="E11" s="102"/>
      <c r="F11" s="103"/>
      <c r="G11" s="102"/>
      <c r="H11" s="102"/>
      <c r="I11" s="102"/>
      <c r="J11" s="102"/>
      <c r="K11" s="102"/>
      <c r="L11" s="102"/>
      <c r="M11" s="102"/>
    </row>
    <row r="12" spans="1:13" s="95" customFormat="1" ht="12">
      <c r="A12" s="100"/>
      <c r="B12" s="81" t="s">
        <v>6</v>
      </c>
      <c r="C12" s="81" t="s">
        <v>72</v>
      </c>
      <c r="D12" s="81" t="s">
        <v>6</v>
      </c>
      <c r="E12" s="81"/>
      <c r="F12" s="99" t="s">
        <v>7</v>
      </c>
      <c r="G12" s="81" t="s">
        <v>8</v>
      </c>
      <c r="H12" s="81"/>
      <c r="I12" s="81" t="s">
        <v>9</v>
      </c>
      <c r="J12" s="81" t="s">
        <v>83</v>
      </c>
      <c r="K12" s="81" t="s">
        <v>10</v>
      </c>
      <c r="L12" s="81" t="s">
        <v>84</v>
      </c>
      <c r="M12" s="81" t="s">
        <v>49</v>
      </c>
    </row>
    <row r="13" spans="1:13" s="95" customFormat="1" ht="12">
      <c r="A13" s="98" t="s">
        <v>11</v>
      </c>
      <c r="B13" s="77" t="s">
        <v>12</v>
      </c>
      <c r="C13" s="77" t="s">
        <v>19</v>
      </c>
      <c r="D13" s="77" t="s">
        <v>13</v>
      </c>
      <c r="E13" s="77" t="s">
        <v>14</v>
      </c>
      <c r="F13" s="97" t="s">
        <v>15</v>
      </c>
      <c r="G13" s="77" t="s">
        <v>16</v>
      </c>
      <c r="H13" s="96"/>
      <c r="I13" s="77" t="s">
        <v>17</v>
      </c>
      <c r="J13" s="77" t="s">
        <v>18</v>
      </c>
      <c r="K13" s="77" t="s">
        <v>19</v>
      </c>
      <c r="L13" s="77" t="s">
        <v>85</v>
      </c>
      <c r="M13" s="77" t="s">
        <v>50</v>
      </c>
    </row>
    <row r="15" spans="1:13" ht="12.75">
      <c r="A15" s="66">
        <v>43191</v>
      </c>
      <c r="B15" s="64">
        <v>72713861.54</v>
      </c>
      <c r="C15" s="64">
        <f>882347.62-24361.06</f>
        <v>857986.5599999999</v>
      </c>
      <c r="D15" s="64">
        <f aca="true" t="shared" si="0" ref="D15:D26">IF(ISBLANK(B15),"",B15-C15-E15)</f>
        <v>66783324.67</v>
      </c>
      <c r="E15" s="64">
        <v>5072550.31</v>
      </c>
      <c r="F15" s="65">
        <f>25140/30</f>
        <v>838</v>
      </c>
      <c r="G15" s="64">
        <f>E15/F15/30</f>
        <v>201.77208870326174</v>
      </c>
      <c r="H15" s="107"/>
      <c r="I15" s="64">
        <v>2079745.63</v>
      </c>
      <c r="J15" s="64">
        <v>1775392.62</v>
      </c>
      <c r="K15" s="64">
        <v>507255.04</v>
      </c>
      <c r="L15" s="64">
        <v>507255.05</v>
      </c>
      <c r="M15" s="64">
        <v>202902.02</v>
      </c>
    </row>
    <row r="16" spans="1:14" ht="12.75">
      <c r="A16" s="66">
        <v>43221</v>
      </c>
      <c r="B16" s="64">
        <v>68445978.19</v>
      </c>
      <c r="C16" s="64">
        <f>888211.28-26250.19</f>
        <v>861961.0900000001</v>
      </c>
      <c r="D16" s="64">
        <f t="shared" si="0"/>
        <v>62732229.589999996</v>
      </c>
      <c r="E16" s="64">
        <v>4851787.51</v>
      </c>
      <c r="F16" s="65">
        <f>25978/31</f>
        <v>838</v>
      </c>
      <c r="G16" s="64">
        <f>_xlfn.IFERROR((E16/F16/31)," ")</f>
        <v>186.76524405265994</v>
      </c>
      <c r="H16" s="107"/>
      <c r="I16" s="64">
        <v>1989232.89</v>
      </c>
      <c r="J16" s="64">
        <v>1698125.65</v>
      </c>
      <c r="K16" s="64">
        <v>485178.77</v>
      </c>
      <c r="L16" s="64">
        <v>485178.77</v>
      </c>
      <c r="M16" s="64">
        <v>194071.48</v>
      </c>
      <c r="N16" s="65"/>
    </row>
    <row r="17" spans="1:14" ht="12.75">
      <c r="A17" s="66">
        <v>43252</v>
      </c>
      <c r="B17" s="64">
        <v>67311694.65</v>
      </c>
      <c r="C17" s="64">
        <f>725142.84-25720.1</f>
        <v>699422.74</v>
      </c>
      <c r="D17" s="64">
        <f t="shared" si="0"/>
        <v>61636965.690000005</v>
      </c>
      <c r="E17" s="64">
        <v>4975306.22</v>
      </c>
      <c r="F17" s="65">
        <f>25140/30</f>
        <v>838</v>
      </c>
      <c r="G17" s="64">
        <f>_xlfn.IFERROR((E17/F17/30)," ")</f>
        <v>197.90398647573588</v>
      </c>
      <c r="H17" s="107"/>
      <c r="I17" s="64">
        <v>2039875.56</v>
      </c>
      <c r="J17" s="64">
        <v>1741357.18</v>
      </c>
      <c r="K17" s="64">
        <v>497530.63</v>
      </c>
      <c r="L17" s="64">
        <v>497530.63</v>
      </c>
      <c r="M17" s="64">
        <v>199012.25</v>
      </c>
      <c r="N17" s="65"/>
    </row>
    <row r="18" spans="1:14" ht="12.75">
      <c r="A18" s="66">
        <v>43282</v>
      </c>
      <c r="B18" s="64">
        <v>68162096.77</v>
      </c>
      <c r="C18" s="64">
        <f>661374.03-49649.43</f>
        <v>611724.6</v>
      </c>
      <c r="D18" s="64">
        <f t="shared" si="0"/>
        <v>62623931.59</v>
      </c>
      <c r="E18" s="64">
        <v>4926440.58</v>
      </c>
      <c r="F18" s="65">
        <f>25978/31</f>
        <v>838</v>
      </c>
      <c r="G18" s="64">
        <f aca="true" t="shared" si="1" ref="G18:G26">_xlfn.IFERROR((E18/F18/31)," ")</f>
        <v>189.63894757102165</v>
      </c>
      <c r="H18" s="107"/>
      <c r="I18" s="64">
        <v>2019840.66</v>
      </c>
      <c r="J18" s="64">
        <v>1724254.2</v>
      </c>
      <c r="K18" s="64">
        <v>492644.05</v>
      </c>
      <c r="L18" s="64">
        <v>492644.06</v>
      </c>
      <c r="M18" s="64">
        <v>197057.63</v>
      </c>
      <c r="N18" s="65"/>
    </row>
    <row r="19" spans="1:14" ht="12.75">
      <c r="A19" s="66">
        <v>43313</v>
      </c>
      <c r="B19" s="64">
        <v>69857984.33</v>
      </c>
      <c r="C19" s="64">
        <v>711036.39</v>
      </c>
      <c r="D19" s="64">
        <f t="shared" si="0"/>
        <v>63987813.19</v>
      </c>
      <c r="E19" s="64">
        <v>5159134.75</v>
      </c>
      <c r="F19" s="65">
        <f>25978/31</f>
        <v>838</v>
      </c>
      <c r="G19" s="64">
        <f t="shared" si="1"/>
        <v>198.59630264069597</v>
      </c>
      <c r="H19" s="107"/>
      <c r="I19" s="64">
        <v>2115245.24</v>
      </c>
      <c r="J19" s="64">
        <v>1805697.15</v>
      </c>
      <c r="K19" s="64">
        <v>515913.48</v>
      </c>
      <c r="L19" s="64">
        <v>515913.49</v>
      </c>
      <c r="M19" s="64">
        <v>206365.38</v>
      </c>
      <c r="N19" s="65"/>
    </row>
    <row r="20" spans="1:14" ht="12.75">
      <c r="A20" s="66">
        <v>43344</v>
      </c>
      <c r="B20" s="64">
        <v>65583796.08</v>
      </c>
      <c r="C20" s="64">
        <f>589055.2-24562.3</f>
        <v>564492.8999999999</v>
      </c>
      <c r="D20" s="64">
        <f t="shared" si="0"/>
        <v>60139908.88</v>
      </c>
      <c r="E20" s="64">
        <v>4879394.3</v>
      </c>
      <c r="F20" s="65">
        <f>25140/30</f>
        <v>838</v>
      </c>
      <c r="G20" s="64">
        <f>_xlfn.IFERROR((E20/F20/30)," ")</f>
        <v>194.08887430389817</v>
      </c>
      <c r="H20" s="107"/>
      <c r="I20" s="64">
        <v>2000551.64</v>
      </c>
      <c r="J20" s="64">
        <v>1707787.99</v>
      </c>
      <c r="K20" s="64">
        <v>487939.43</v>
      </c>
      <c r="L20" s="64">
        <v>487939.43</v>
      </c>
      <c r="M20" s="64">
        <v>195175.78</v>
      </c>
      <c r="N20" s="65"/>
    </row>
    <row r="21" spans="1:14" ht="12.75">
      <c r="A21" s="66">
        <v>43374</v>
      </c>
      <c r="B21" s="64">
        <v>63066526.14</v>
      </c>
      <c r="C21" s="64">
        <f>661490.6-24820.15</f>
        <v>636670.45</v>
      </c>
      <c r="D21" s="64">
        <f t="shared" si="0"/>
        <v>57824491.97</v>
      </c>
      <c r="E21" s="64">
        <v>4605363.72</v>
      </c>
      <c r="F21" s="65">
        <f>25978/31</f>
        <v>838</v>
      </c>
      <c r="G21" s="64">
        <f t="shared" si="1"/>
        <v>177.27937947494033</v>
      </c>
      <c r="H21" s="107"/>
      <c r="I21" s="64">
        <v>1888199.12</v>
      </c>
      <c r="J21" s="64">
        <v>1611877.31</v>
      </c>
      <c r="K21" s="64">
        <v>460536.36</v>
      </c>
      <c r="L21" s="64">
        <v>460536.37</v>
      </c>
      <c r="M21" s="64">
        <v>184214.53</v>
      </c>
      <c r="N21" s="65"/>
    </row>
    <row r="22" spans="1:14" ht="12.75">
      <c r="A22" s="66">
        <v>43405</v>
      </c>
      <c r="B22" s="64">
        <v>60169442.53</v>
      </c>
      <c r="C22" s="64">
        <f>592015.9-20559</f>
        <v>571456.9</v>
      </c>
      <c r="D22" s="64">
        <f t="shared" si="0"/>
        <v>55104839.64</v>
      </c>
      <c r="E22" s="64">
        <v>4493145.99</v>
      </c>
      <c r="F22" s="65">
        <f>25072/30</f>
        <v>835.7333333333333</v>
      </c>
      <c r="G22" s="64">
        <f>_xlfn.IFERROR((E22/F22/30)," ")</f>
        <v>179.20971561901723</v>
      </c>
      <c r="H22" s="107"/>
      <c r="I22" s="64">
        <v>1842189.84</v>
      </c>
      <c r="J22" s="64">
        <v>1572601.13</v>
      </c>
      <c r="K22" s="64">
        <v>449314.6</v>
      </c>
      <c r="L22" s="64">
        <v>449314.61</v>
      </c>
      <c r="M22" s="64">
        <v>179725.82</v>
      </c>
      <c r="N22" s="65"/>
    </row>
    <row r="23" spans="1:14" ht="12.75">
      <c r="A23" s="66">
        <v>43435</v>
      </c>
      <c r="B23" s="64">
        <v>64957299.16</v>
      </c>
      <c r="C23" s="64">
        <f>636781.75-21454.6</f>
        <v>615327.15</v>
      </c>
      <c r="D23" s="64">
        <f t="shared" si="0"/>
        <v>59611344.379999995</v>
      </c>
      <c r="E23" s="64">
        <v>4730627.63</v>
      </c>
      <c r="F23" s="65">
        <f>25916/31</f>
        <v>836</v>
      </c>
      <c r="G23" s="64">
        <f t="shared" si="1"/>
        <v>182.5369513042136</v>
      </c>
      <c r="H23" s="107"/>
      <c r="I23" s="64">
        <v>1939557.32</v>
      </c>
      <c r="J23" s="64">
        <v>1655719.67</v>
      </c>
      <c r="K23" s="64">
        <v>473062.77</v>
      </c>
      <c r="L23" s="64">
        <v>473062.79</v>
      </c>
      <c r="M23" s="64">
        <v>189225.11</v>
      </c>
      <c r="N23" s="65"/>
    </row>
    <row r="24" spans="1:14" ht="12.75">
      <c r="A24" s="66">
        <v>43466</v>
      </c>
      <c r="B24" s="64">
        <v>55298635.83</v>
      </c>
      <c r="C24" s="64">
        <f>496349.36-22408.6</f>
        <v>473940.76</v>
      </c>
      <c r="D24" s="64">
        <f t="shared" si="0"/>
        <v>50687260.82</v>
      </c>
      <c r="E24" s="64">
        <v>4137434.25</v>
      </c>
      <c r="F24" s="65">
        <f>25964/31</f>
        <v>837.5483870967741</v>
      </c>
      <c r="G24" s="64">
        <f t="shared" si="1"/>
        <v>159.35272877830843</v>
      </c>
      <c r="H24" s="107"/>
      <c r="I24" s="64">
        <v>1696348.03</v>
      </c>
      <c r="J24" s="64">
        <v>1448101.98</v>
      </c>
      <c r="K24" s="64">
        <v>413743.43</v>
      </c>
      <c r="L24" s="64">
        <v>413743.43</v>
      </c>
      <c r="M24" s="64">
        <v>165497.4</v>
      </c>
      <c r="N24" s="65"/>
    </row>
    <row r="25" spans="1:14" ht="12.75">
      <c r="A25" s="66">
        <v>43497</v>
      </c>
      <c r="B25" s="64">
        <v>61658518.76</v>
      </c>
      <c r="C25" s="64">
        <f>539098.76-45194.55</f>
        <v>493904.21</v>
      </c>
      <c r="D25" s="64">
        <f t="shared" si="0"/>
        <v>56430613.69</v>
      </c>
      <c r="E25" s="64">
        <v>4734000.86</v>
      </c>
      <c r="F25" s="65">
        <f>23464/28</f>
        <v>838</v>
      </c>
      <c r="G25" s="64">
        <f>_xlfn.IFERROR((E25/F25/28)," ")</f>
        <v>201.75591800204572</v>
      </c>
      <c r="H25" s="107"/>
      <c r="I25" s="64">
        <v>2120503.29</v>
      </c>
      <c r="J25" s="64">
        <v>1477337.34</v>
      </c>
      <c r="K25" s="64">
        <v>473400.09</v>
      </c>
      <c r="L25" s="64">
        <v>473400.09</v>
      </c>
      <c r="M25" s="64">
        <v>189360.04</v>
      </c>
      <c r="N25" s="65"/>
    </row>
    <row r="26" spans="1:14" ht="12.75">
      <c r="A26" s="66">
        <v>43525</v>
      </c>
      <c r="B26" s="64">
        <v>78593090.72</v>
      </c>
      <c r="C26" s="64">
        <f>700471.24-32098.35</f>
        <v>668372.89</v>
      </c>
      <c r="D26" s="64">
        <f t="shared" si="0"/>
        <v>71891919.28</v>
      </c>
      <c r="E26" s="64">
        <v>6032798.55</v>
      </c>
      <c r="F26" s="65">
        <f>25978/31</f>
        <v>838</v>
      </c>
      <c r="G26" s="64">
        <f t="shared" si="1"/>
        <v>232.22721341134806</v>
      </c>
      <c r="H26" s="107"/>
      <c r="I26" s="64">
        <v>2895743.33</v>
      </c>
      <c r="J26" s="64">
        <v>1689183.62</v>
      </c>
      <c r="K26" s="64">
        <v>603279.87</v>
      </c>
      <c r="L26" s="64">
        <v>603279.87</v>
      </c>
      <c r="M26" s="64">
        <v>241311.94</v>
      </c>
      <c r="N26" s="65"/>
    </row>
    <row r="27" spans="1:13" ht="13.5" thickBot="1">
      <c r="A27" s="94" t="s">
        <v>20</v>
      </c>
      <c r="B27" s="92">
        <f>SUM(B15:B26)</f>
        <v>795818924.7</v>
      </c>
      <c r="C27" s="92">
        <f>SUM(C15:C26)</f>
        <v>7766296.64</v>
      </c>
      <c r="D27" s="92">
        <f>SUM(D15:D26)</f>
        <v>729454643.3900001</v>
      </c>
      <c r="E27" s="92">
        <f>SUM(E15:E26)</f>
        <v>58597984.67</v>
      </c>
      <c r="F27" s="62">
        <f>AVERAGE(F15:F26)</f>
        <v>837.6068100358424</v>
      </c>
      <c r="G27" s="92">
        <f>AVERAGE(G15:G26)</f>
        <v>191.76061252809555</v>
      </c>
      <c r="H27" s="93"/>
      <c r="I27" s="92">
        <f>SUM(I15:I26)</f>
        <v>24627032.550000004</v>
      </c>
      <c r="J27" s="92">
        <f>SUM(J15:J26)</f>
        <v>19907435.840000004</v>
      </c>
      <c r="K27" s="92">
        <f>SUM(K15:K26)</f>
        <v>5859798.52</v>
      </c>
      <c r="L27" s="92">
        <f>SUM(L15:L26)</f>
        <v>5859798.59</v>
      </c>
      <c r="M27" s="92">
        <f>SUM(M15:M26)</f>
        <v>2343919.38</v>
      </c>
    </row>
    <row r="28" spans="2:13" ht="10.5" customHeight="1" thickTop="1">
      <c r="B28" s="91"/>
      <c r="C28" s="91"/>
      <c r="D28" s="91"/>
      <c r="E28" s="91"/>
      <c r="I28" s="91"/>
      <c r="J28" s="91"/>
      <c r="K28" s="91"/>
      <c r="L28" s="91"/>
      <c r="M28" s="91"/>
    </row>
    <row r="29" spans="1:13" s="88" customFormat="1" ht="12.75">
      <c r="A29" s="90"/>
      <c r="B29" s="89"/>
      <c r="C29" s="89">
        <f>C27/B27</f>
        <v>0.009758874033974074</v>
      </c>
      <c r="D29" s="89">
        <f>D27/B27</f>
        <v>0.916608817344954</v>
      </c>
      <c r="E29" s="89">
        <f>E27/B27</f>
        <v>0.07363230862107192</v>
      </c>
      <c r="I29" s="89">
        <f>I27/$E$27</f>
        <v>0.4202709818211228</v>
      </c>
      <c r="J29" s="89">
        <f>J27/$E$27</f>
        <v>0.33972901887514695</v>
      </c>
      <c r="K29" s="89">
        <f>K27/$E$27</f>
        <v>0.10000000090446795</v>
      </c>
      <c r="L29" s="89">
        <f>L27/$E$27</f>
        <v>0.10000000209904829</v>
      </c>
      <c r="M29" s="89">
        <f>M27/$E$27</f>
        <v>0.03999999988395505</v>
      </c>
    </row>
    <row r="31" spans="1:13" s="69" customFormat="1" ht="12.75">
      <c r="A31" s="116" t="s">
        <v>21</v>
      </c>
      <c r="B31" s="117"/>
      <c r="C31" s="117"/>
      <c r="D31" s="117"/>
      <c r="E31" s="117"/>
      <c r="F31" s="117"/>
      <c r="G31" s="117"/>
      <c r="H31" s="117"/>
      <c r="I31" s="117"/>
      <c r="J31" s="117"/>
      <c r="K31" s="117"/>
      <c r="L31" s="117"/>
      <c r="M31" s="126"/>
    </row>
    <row r="32" ht="12.75">
      <c r="A32" s="68"/>
    </row>
    <row r="33" spans="1:12" s="49" customFormat="1" ht="12.75" customHeight="1">
      <c r="A33" s="45" t="s">
        <v>22</v>
      </c>
      <c r="B33" s="46"/>
      <c r="C33" s="57" t="s">
        <v>94</v>
      </c>
      <c r="D33" s="58"/>
      <c r="E33" s="58"/>
      <c r="F33" s="58"/>
      <c r="G33" s="58"/>
      <c r="H33" s="58"/>
      <c r="I33" s="58"/>
      <c r="J33" s="58"/>
      <c r="K33" s="58"/>
      <c r="L33" s="58"/>
    </row>
    <row r="34" spans="1:12" s="49" customFormat="1" ht="12.75" customHeight="1">
      <c r="A34" s="45"/>
      <c r="B34" s="46"/>
      <c r="C34" s="57" t="s">
        <v>95</v>
      </c>
      <c r="D34" s="58"/>
      <c r="E34" s="58"/>
      <c r="F34" s="58"/>
      <c r="G34" s="58"/>
      <c r="H34" s="58"/>
      <c r="I34" s="58"/>
      <c r="J34" s="58"/>
      <c r="K34" s="58"/>
      <c r="L34" s="58"/>
    </row>
    <row r="35" spans="1:13" ht="6" customHeight="1">
      <c r="A35" s="86"/>
      <c r="B35" s="71"/>
      <c r="C35" s="71"/>
      <c r="D35" s="87"/>
      <c r="E35" s="87"/>
      <c r="F35" s="87"/>
      <c r="G35" s="87"/>
      <c r="H35" s="87"/>
      <c r="I35" s="87"/>
      <c r="J35" s="87"/>
      <c r="K35" s="87"/>
      <c r="L35" s="87"/>
      <c r="M35" s="63"/>
    </row>
    <row r="36" spans="1:13" ht="12.75">
      <c r="A36" s="86" t="s">
        <v>97</v>
      </c>
      <c r="B36" s="71"/>
      <c r="C36" s="71" t="s">
        <v>87</v>
      </c>
      <c r="F36" s="71"/>
      <c r="G36" s="71"/>
      <c r="H36" s="71"/>
      <c r="I36" s="71"/>
      <c r="J36" s="71"/>
      <c r="K36" s="71"/>
      <c r="L36" s="71"/>
      <c r="M36" s="71"/>
    </row>
    <row r="37" spans="1:13" ht="6" customHeight="1">
      <c r="A37" s="86"/>
      <c r="B37" s="71"/>
      <c r="C37" s="71"/>
      <c r="D37" s="71"/>
      <c r="F37" s="71"/>
      <c r="G37" s="71"/>
      <c r="H37" s="71"/>
      <c r="I37" s="71"/>
      <c r="J37" s="71"/>
      <c r="K37" s="71"/>
      <c r="L37" s="71"/>
      <c r="M37" s="71"/>
    </row>
    <row r="38" spans="1:13" ht="12.75">
      <c r="A38" s="86" t="s">
        <v>23</v>
      </c>
      <c r="B38" s="71"/>
      <c r="C38" s="57" t="s">
        <v>101</v>
      </c>
      <c r="F38" s="71"/>
      <c r="G38" s="71"/>
      <c r="H38" s="71"/>
      <c r="I38" s="71"/>
      <c r="J38" s="71"/>
      <c r="K38" s="71"/>
      <c r="L38" s="71"/>
      <c r="M38" s="71"/>
    </row>
    <row r="39" spans="1:13" ht="6" customHeight="1">
      <c r="A39" s="86"/>
      <c r="B39" s="71"/>
      <c r="C39" s="71"/>
      <c r="F39" s="71"/>
      <c r="G39" s="71"/>
      <c r="H39" s="71"/>
      <c r="I39" s="71"/>
      <c r="J39" s="71"/>
      <c r="K39" s="71"/>
      <c r="L39" s="71"/>
      <c r="M39" s="71"/>
    </row>
    <row r="40" spans="1:13" ht="12.75">
      <c r="A40" s="86" t="s">
        <v>25</v>
      </c>
      <c r="B40" s="71"/>
      <c r="C40" s="71" t="s">
        <v>64</v>
      </c>
      <c r="F40" s="72"/>
      <c r="G40" s="71"/>
      <c r="H40" s="71"/>
      <c r="I40" s="71"/>
      <c r="J40" s="71"/>
      <c r="K40" s="71"/>
      <c r="L40" s="71"/>
      <c r="M40" s="71"/>
    </row>
    <row r="41" spans="1:13" ht="12.75">
      <c r="A41" s="86"/>
      <c r="B41" s="71"/>
      <c r="C41" s="71" t="s">
        <v>63</v>
      </c>
      <c r="F41" s="72"/>
      <c r="G41" s="71"/>
      <c r="H41" s="71"/>
      <c r="I41" s="71"/>
      <c r="J41" s="71"/>
      <c r="K41" s="71"/>
      <c r="L41" s="71"/>
      <c r="M41" s="71"/>
    </row>
    <row r="42" spans="1:13" ht="6" customHeight="1">
      <c r="A42" s="86"/>
      <c r="B42" s="71"/>
      <c r="C42" s="71"/>
      <c r="F42" s="72"/>
      <c r="G42" s="71"/>
      <c r="H42" s="71"/>
      <c r="I42" s="71"/>
      <c r="J42" s="71"/>
      <c r="K42" s="71"/>
      <c r="L42" s="71"/>
      <c r="M42" s="71"/>
    </row>
    <row r="43" spans="1:13" ht="12.75">
      <c r="A43" s="86" t="s">
        <v>28</v>
      </c>
      <c r="B43" s="71"/>
      <c r="C43" s="71" t="s">
        <v>29</v>
      </c>
      <c r="F43" s="72"/>
      <c r="G43" s="71"/>
      <c r="H43" s="71"/>
      <c r="I43" s="71"/>
      <c r="J43" s="71"/>
      <c r="K43" s="71"/>
      <c r="L43" s="71"/>
      <c r="M43" s="71"/>
    </row>
    <row r="44" spans="1:13" ht="6" customHeight="1">
      <c r="A44" s="86"/>
      <c r="B44" s="71"/>
      <c r="C44" s="71"/>
      <c r="D44" s="71"/>
      <c r="F44" s="72"/>
      <c r="G44" s="71"/>
      <c r="H44" s="71"/>
      <c r="I44" s="71"/>
      <c r="J44" s="71"/>
      <c r="K44" s="71"/>
      <c r="L44" s="71"/>
      <c r="M44" s="71"/>
    </row>
    <row r="45" spans="1:12" s="49" customFormat="1" ht="12.75">
      <c r="A45" s="45" t="s">
        <v>74</v>
      </c>
      <c r="B45" s="46"/>
      <c r="C45" s="46" t="s">
        <v>103</v>
      </c>
      <c r="D45" s="47"/>
      <c r="E45" s="48"/>
      <c r="F45" s="46"/>
      <c r="G45" s="46"/>
      <c r="H45" s="46"/>
      <c r="I45" s="46"/>
      <c r="J45" s="46"/>
      <c r="K45" s="46"/>
      <c r="L45" s="46"/>
    </row>
    <row r="46" spans="1:12" s="49" customFormat="1" ht="12.75">
      <c r="A46" s="45"/>
      <c r="B46" s="46"/>
      <c r="C46" s="46" t="s">
        <v>81</v>
      </c>
      <c r="D46" s="47"/>
      <c r="E46" s="48"/>
      <c r="F46" s="46"/>
      <c r="G46" s="46"/>
      <c r="H46" s="46"/>
      <c r="I46" s="46"/>
      <c r="J46" s="46"/>
      <c r="K46" s="46"/>
      <c r="L46" s="46"/>
    </row>
    <row r="47" spans="1:12" s="49" customFormat="1" ht="12.75">
      <c r="A47" s="45"/>
      <c r="B47" s="46"/>
      <c r="C47" s="46" t="s">
        <v>82</v>
      </c>
      <c r="D47" s="47"/>
      <c r="E47" s="48"/>
      <c r="F47" s="46"/>
      <c r="G47" s="46"/>
      <c r="H47" s="46"/>
      <c r="I47" s="46"/>
      <c r="J47" s="46"/>
      <c r="K47" s="46"/>
      <c r="L47" s="46"/>
    </row>
    <row r="48" spans="1:13" ht="6" customHeight="1">
      <c r="A48" s="86"/>
      <c r="B48" s="71"/>
      <c r="C48" s="71"/>
      <c r="D48" s="71"/>
      <c r="F48" s="72"/>
      <c r="G48" s="71"/>
      <c r="H48" s="71"/>
      <c r="I48" s="71"/>
      <c r="J48" s="71"/>
      <c r="K48" s="71"/>
      <c r="L48" s="71"/>
      <c r="M48" s="71"/>
    </row>
    <row r="49" spans="1:12" s="49" customFormat="1" ht="12.75">
      <c r="A49" s="45" t="s">
        <v>30</v>
      </c>
      <c r="B49" s="46"/>
      <c r="C49" s="46" t="s">
        <v>104</v>
      </c>
      <c r="D49" s="47"/>
      <c r="E49" s="48"/>
      <c r="F49" s="46"/>
      <c r="G49" s="46"/>
      <c r="H49" s="46"/>
      <c r="I49" s="46"/>
      <c r="J49" s="46"/>
      <c r="K49" s="46"/>
      <c r="L49" s="46"/>
    </row>
    <row r="50" spans="1:12" s="49" customFormat="1" ht="12.75">
      <c r="A50" s="45"/>
      <c r="B50" s="46"/>
      <c r="C50" s="46" t="s">
        <v>105</v>
      </c>
      <c r="D50" s="47"/>
      <c r="E50" s="48"/>
      <c r="F50" s="46"/>
      <c r="G50" s="46"/>
      <c r="H50" s="46"/>
      <c r="I50" s="46"/>
      <c r="J50" s="46"/>
      <c r="K50" s="46"/>
      <c r="L50" s="46"/>
    </row>
    <row r="51" spans="1:13" ht="6" customHeight="1">
      <c r="A51" s="86"/>
      <c r="B51" s="71"/>
      <c r="C51" s="71"/>
      <c r="D51" s="71"/>
      <c r="F51" s="72"/>
      <c r="G51" s="71"/>
      <c r="H51" s="71"/>
      <c r="I51" s="71"/>
      <c r="J51" s="71"/>
      <c r="K51" s="71"/>
      <c r="L51" s="71"/>
      <c r="M51" s="71"/>
    </row>
    <row r="52" spans="1:12" s="49" customFormat="1" ht="12.75">
      <c r="A52" s="45" t="s">
        <v>86</v>
      </c>
      <c r="B52" s="46"/>
      <c r="C52" s="46" t="s">
        <v>79</v>
      </c>
      <c r="D52" s="47"/>
      <c r="E52" s="48"/>
      <c r="F52" s="46"/>
      <c r="G52" s="46"/>
      <c r="H52" s="46"/>
      <c r="I52" s="46"/>
      <c r="J52" s="46"/>
      <c r="K52" s="46"/>
      <c r="L52" s="46"/>
    </row>
    <row r="53" spans="1:12" s="49" customFormat="1" ht="12.75">
      <c r="A53" s="50"/>
      <c r="B53" s="46"/>
      <c r="C53" s="46" t="s">
        <v>80</v>
      </c>
      <c r="D53" s="47"/>
      <c r="E53" s="48"/>
      <c r="F53" s="46"/>
      <c r="G53" s="46"/>
      <c r="H53" s="46"/>
      <c r="I53" s="46"/>
      <c r="J53" s="46"/>
      <c r="K53" s="46"/>
      <c r="L53" s="46"/>
    </row>
    <row r="54" spans="1:13" ht="6" customHeight="1">
      <c r="A54" s="85"/>
      <c r="B54" s="83"/>
      <c r="C54" s="83"/>
      <c r="D54" s="83"/>
      <c r="E54" s="83"/>
      <c r="F54" s="84"/>
      <c r="G54" s="83"/>
      <c r="H54" s="83"/>
      <c r="I54" s="83"/>
      <c r="J54" s="83"/>
      <c r="K54" s="83"/>
      <c r="L54" s="83"/>
      <c r="M54" s="83"/>
    </row>
    <row r="55" spans="1:12" ht="12.75">
      <c r="A55" s="86" t="s">
        <v>51</v>
      </c>
      <c r="B55" s="71"/>
      <c r="C55" s="71" t="s">
        <v>65</v>
      </c>
      <c r="F55" s="72"/>
      <c r="G55" s="71"/>
      <c r="H55" s="71"/>
      <c r="I55" s="71"/>
      <c r="J55" s="71"/>
      <c r="K55" s="71"/>
      <c r="L55" s="71"/>
    </row>
    <row r="56" spans="1:12" ht="12.75">
      <c r="A56" s="67"/>
      <c r="B56" s="71"/>
      <c r="C56" s="71" t="s">
        <v>67</v>
      </c>
      <c r="F56" s="72"/>
      <c r="G56" s="71"/>
      <c r="H56" s="71"/>
      <c r="I56" s="71"/>
      <c r="J56" s="71"/>
      <c r="K56" s="71"/>
      <c r="L56" s="71"/>
    </row>
    <row r="57" spans="1:12" ht="12.75">
      <c r="A57" s="67"/>
      <c r="B57" s="71"/>
      <c r="C57" s="71" t="s">
        <v>66</v>
      </c>
      <c r="F57" s="72"/>
      <c r="G57" s="71"/>
      <c r="H57" s="71"/>
      <c r="I57" s="71"/>
      <c r="J57" s="71"/>
      <c r="K57" s="71"/>
      <c r="L57" s="71"/>
    </row>
    <row r="58" spans="1:13" ht="12.75">
      <c r="A58" s="85"/>
      <c r="B58" s="83"/>
      <c r="C58" s="83"/>
      <c r="D58" s="83"/>
      <c r="E58" s="83"/>
      <c r="F58" s="84"/>
      <c r="G58" s="83"/>
      <c r="H58" s="83"/>
      <c r="I58" s="83"/>
      <c r="J58" s="83"/>
      <c r="K58" s="83"/>
      <c r="L58" s="83"/>
      <c r="M58" s="83"/>
    </row>
    <row r="59" spans="1:13" s="69" customFormat="1" ht="12.75">
      <c r="A59" s="116" t="s">
        <v>31</v>
      </c>
      <c r="B59" s="117"/>
      <c r="C59" s="117"/>
      <c r="D59" s="117"/>
      <c r="E59" s="117"/>
      <c r="F59" s="117"/>
      <c r="G59" s="117"/>
      <c r="H59" s="117"/>
      <c r="I59" s="117"/>
      <c r="J59" s="117"/>
      <c r="K59" s="117"/>
      <c r="L59" s="117"/>
      <c r="M59" s="126"/>
    </row>
    <row r="60" ht="12.75">
      <c r="A60" s="68"/>
    </row>
    <row r="61" spans="1:12" ht="13.5">
      <c r="A61" s="82"/>
      <c r="E61" s="81" t="s">
        <v>9</v>
      </c>
      <c r="F61" s="115" t="s">
        <v>88</v>
      </c>
      <c r="G61" s="115"/>
      <c r="H61" s="115"/>
      <c r="I61" s="115"/>
      <c r="J61" s="81" t="s">
        <v>10</v>
      </c>
      <c r="K61" s="81" t="s">
        <v>84</v>
      </c>
      <c r="L61" s="81" t="s">
        <v>49</v>
      </c>
    </row>
    <row r="62" spans="1:12" ht="12.75">
      <c r="A62" s="80"/>
      <c r="E62" s="77" t="s">
        <v>17</v>
      </c>
      <c r="F62" s="77" t="s">
        <v>89</v>
      </c>
      <c r="G62" s="79" t="s">
        <v>90</v>
      </c>
      <c r="H62" s="78"/>
      <c r="I62" s="77" t="s">
        <v>91</v>
      </c>
      <c r="J62" s="77" t="s">
        <v>19</v>
      </c>
      <c r="K62" s="77" t="s">
        <v>85</v>
      </c>
      <c r="L62" s="77" t="s">
        <v>50</v>
      </c>
    </row>
    <row r="63" spans="2:12" ht="12.75">
      <c r="B63" s="73" t="s">
        <v>35</v>
      </c>
      <c r="C63" s="73"/>
      <c r="D63" s="73"/>
      <c r="E63" s="74">
        <v>0.41</v>
      </c>
      <c r="F63" s="74">
        <v>0.25</v>
      </c>
      <c r="G63" s="76">
        <v>0.0875</v>
      </c>
      <c r="H63" s="75"/>
      <c r="I63" s="74">
        <v>0.0125</v>
      </c>
      <c r="J63" s="74">
        <v>0.1</v>
      </c>
      <c r="K63" s="74">
        <v>0.1</v>
      </c>
      <c r="L63" s="74">
        <v>0.04</v>
      </c>
    </row>
    <row r="64" spans="2:12" ht="12.75">
      <c r="B64" s="73" t="s">
        <v>58</v>
      </c>
      <c r="C64" s="73"/>
      <c r="D64" s="73"/>
      <c r="E64" s="74">
        <v>0.48</v>
      </c>
      <c r="F64" s="74">
        <v>0.18</v>
      </c>
      <c r="G64" s="76">
        <v>0.0875</v>
      </c>
      <c r="H64" s="75"/>
      <c r="I64" s="74">
        <v>0.0125</v>
      </c>
      <c r="J64" s="74">
        <v>0.1</v>
      </c>
      <c r="K64" s="74">
        <v>0.1</v>
      </c>
      <c r="L64" s="74">
        <v>0.04</v>
      </c>
    </row>
    <row r="65" spans="2:12" ht="12.75">
      <c r="B65" s="73" t="s">
        <v>107</v>
      </c>
      <c r="C65" s="73"/>
      <c r="D65" s="73"/>
      <c r="E65" s="74">
        <v>0.52</v>
      </c>
      <c r="F65" s="74">
        <v>0.18</v>
      </c>
      <c r="G65" s="76">
        <v>0.0875</v>
      </c>
      <c r="H65" s="75"/>
      <c r="I65" s="74">
        <v>0.0125</v>
      </c>
      <c r="J65" s="74">
        <v>0.1</v>
      </c>
      <c r="K65" s="74">
        <v>0.1</v>
      </c>
      <c r="L65" s="74">
        <v>0</v>
      </c>
    </row>
    <row r="66" spans="2:12" ht="12.75">
      <c r="B66" s="73" t="s">
        <v>38</v>
      </c>
      <c r="C66" s="73"/>
      <c r="D66" s="73"/>
      <c r="E66" s="74">
        <v>0.55</v>
      </c>
      <c r="F66" s="74">
        <v>0.15</v>
      </c>
      <c r="G66" s="76">
        <v>0.0875</v>
      </c>
      <c r="H66" s="75"/>
      <c r="I66" s="74">
        <v>0.0125</v>
      </c>
      <c r="J66" s="74">
        <v>0.1</v>
      </c>
      <c r="K66" s="74">
        <v>0.1</v>
      </c>
      <c r="L66" s="74">
        <v>0</v>
      </c>
    </row>
    <row r="67" spans="2:12" ht="12.75">
      <c r="B67" s="73"/>
      <c r="C67" s="73"/>
      <c r="D67" s="73"/>
      <c r="E67" s="71"/>
      <c r="F67" s="72"/>
      <c r="G67" s="70"/>
      <c r="H67" s="71"/>
      <c r="I67" s="70"/>
      <c r="J67" s="70"/>
      <c r="K67" s="70"/>
      <c r="L67" s="70"/>
    </row>
    <row r="68" spans="1:13" s="69" customFormat="1" ht="12.75">
      <c r="A68" s="118" t="s">
        <v>43</v>
      </c>
      <c r="B68" s="119"/>
      <c r="C68" s="119"/>
      <c r="D68" s="119"/>
      <c r="E68" s="119"/>
      <c r="F68" s="119"/>
      <c r="G68" s="119"/>
      <c r="H68" s="119"/>
      <c r="I68" s="119"/>
      <c r="J68" s="119"/>
      <c r="K68" s="119"/>
      <c r="L68" s="119"/>
      <c r="M68" s="127"/>
    </row>
    <row r="69" spans="1:6" ht="9" customHeight="1">
      <c r="A69" s="68"/>
      <c r="E69" s="63"/>
      <c r="F69" s="64"/>
    </row>
    <row r="70" spans="1:13" ht="52.5" customHeight="1">
      <c r="A70" s="120" t="s">
        <v>115</v>
      </c>
      <c r="B70" s="121"/>
      <c r="C70" s="121"/>
      <c r="D70" s="121"/>
      <c r="E70" s="121"/>
      <c r="F70" s="121"/>
      <c r="G70" s="121"/>
      <c r="H70" s="121"/>
      <c r="I70" s="121"/>
      <c r="J70" s="121"/>
      <c r="K70" s="121"/>
      <c r="L70" s="121"/>
      <c r="M70" s="121"/>
    </row>
    <row r="71" spans="1:6" ht="12.75">
      <c r="A71" s="64"/>
      <c r="E71" s="63"/>
      <c r="F71" s="64"/>
    </row>
    <row r="72" spans="2:5" ht="12.75">
      <c r="B72" s="68" t="s">
        <v>44</v>
      </c>
      <c r="C72" s="68"/>
      <c r="D72" s="68"/>
      <c r="E72" s="64">
        <v>440789</v>
      </c>
    </row>
    <row r="73" spans="2:5" ht="12.75">
      <c r="B73" s="68" t="s">
        <v>45</v>
      </c>
      <c r="C73" s="68"/>
      <c r="D73" s="68"/>
      <c r="E73" s="64">
        <v>160388</v>
      </c>
    </row>
    <row r="74" spans="2:5" ht="12.75">
      <c r="B74" s="64" t="s">
        <v>46</v>
      </c>
      <c r="E74" s="64">
        <v>200392</v>
      </c>
    </row>
    <row r="75" ht="12.75">
      <c r="E75" s="64" t="s">
        <v>39</v>
      </c>
    </row>
    <row r="76" ht="12.75">
      <c r="A76" s="67" t="s">
        <v>98</v>
      </c>
    </row>
  </sheetData>
  <sheetProtection/>
  <mergeCells count="12">
    <mergeCell ref="A70:M70"/>
    <mergeCell ref="A1:M1"/>
    <mergeCell ref="A2:M2"/>
    <mergeCell ref="A3:M3"/>
    <mergeCell ref="A4:M4"/>
    <mergeCell ref="A5:M5"/>
    <mergeCell ref="A8:M8"/>
    <mergeCell ref="I10:M10"/>
    <mergeCell ref="A31:M31"/>
    <mergeCell ref="A59:M59"/>
    <mergeCell ref="F61:I61"/>
    <mergeCell ref="A68:M68"/>
  </mergeCells>
  <hyperlinks>
    <hyperlink ref="A4" r:id="rId1" display="www.batavia-downs.com"/>
  </hyperlinks>
  <printOptions/>
  <pageMargins left="0.25" right="0.25" top="0.75" bottom="0.5" header="0.5" footer="0.5"/>
  <pageSetup fitToHeight="1" fitToWidth="1" horizontalDpi="600" verticalDpi="600" orientation="portrait" scale="68" r:id="rId3"/>
  <ignoredErrors>
    <ignoredError sqref="G17:G25" formula="1"/>
  </ignoredErrors>
  <drawing r:id="rId2"/>
</worksheet>
</file>

<file path=xl/worksheets/sheet7.xml><?xml version="1.0" encoding="utf-8"?>
<worksheet xmlns="http://schemas.openxmlformats.org/spreadsheetml/2006/main" xmlns:r="http://schemas.openxmlformats.org/officeDocument/2006/relationships">
  <sheetPr>
    <pageSetUpPr fitToPage="1"/>
  </sheetPr>
  <dimension ref="A1:M76"/>
  <sheetViews>
    <sheetView zoomScalePageLayoutView="0" workbookViewId="0" topLeftCell="A16">
      <selection activeCell="F27" sqref="F27:G27"/>
    </sheetView>
  </sheetViews>
  <sheetFormatPr defaultColWidth="9.140625" defaultRowHeight="12.75"/>
  <cols>
    <col min="1" max="1" width="9.28125" style="3" customWidth="1"/>
    <col min="2" max="2" width="16.00390625" style="16" customWidth="1"/>
    <col min="3" max="3" width="13.140625" style="16" customWidth="1"/>
    <col min="4" max="4" width="14.421875" style="16" bestFit="1" customWidth="1"/>
    <col min="5" max="5" width="12.7109375" style="16" customWidth="1"/>
    <col min="6" max="6" width="8.8515625" style="17" customWidth="1"/>
    <col min="7" max="7" width="10.28125" style="16" customWidth="1"/>
    <col min="8" max="8" width="1.421875" style="16" customWidth="1"/>
    <col min="9" max="9" width="12.421875" style="16" customWidth="1"/>
    <col min="10" max="10" width="12.8515625" style="16" customWidth="1"/>
    <col min="11" max="12" width="13.7109375" style="16" customWidth="1"/>
    <col min="13" max="13" width="13.28125" style="16" customWidth="1"/>
    <col min="14" max="14" width="12.7109375" style="0" customWidth="1"/>
  </cols>
  <sheetData>
    <row r="1" spans="1:13" ht="18">
      <c r="A1" s="136" t="s">
        <v>100</v>
      </c>
      <c r="B1" s="136"/>
      <c r="C1" s="136"/>
      <c r="D1" s="136"/>
      <c r="E1" s="136"/>
      <c r="F1" s="136"/>
      <c r="G1" s="136"/>
      <c r="H1" s="136"/>
      <c r="I1" s="136"/>
      <c r="J1" s="136"/>
      <c r="K1" s="136"/>
      <c r="L1" s="136"/>
      <c r="M1" s="136"/>
    </row>
    <row r="2" spans="1:13" ht="15">
      <c r="A2" s="137" t="s">
        <v>0</v>
      </c>
      <c r="B2" s="137"/>
      <c r="C2" s="137"/>
      <c r="D2" s="137"/>
      <c r="E2" s="137"/>
      <c r="F2" s="137"/>
      <c r="G2" s="137"/>
      <c r="H2" s="137"/>
      <c r="I2" s="137"/>
      <c r="J2" s="137"/>
      <c r="K2" s="137"/>
      <c r="L2" s="137"/>
      <c r="M2" s="137"/>
    </row>
    <row r="3" spans="1:13" s="1" customFormat="1" ht="15">
      <c r="A3" s="137" t="s">
        <v>1</v>
      </c>
      <c r="B3" s="137"/>
      <c r="C3" s="137"/>
      <c r="D3" s="137"/>
      <c r="E3" s="137"/>
      <c r="F3" s="137"/>
      <c r="G3" s="137"/>
      <c r="H3" s="137"/>
      <c r="I3" s="137"/>
      <c r="J3" s="137"/>
      <c r="K3" s="137"/>
      <c r="L3" s="137"/>
      <c r="M3" s="137"/>
    </row>
    <row r="4" spans="1:13" s="1" customFormat="1" ht="14.25">
      <c r="A4" s="124" t="s">
        <v>2</v>
      </c>
      <c r="B4" s="124"/>
      <c r="C4" s="124"/>
      <c r="D4" s="124"/>
      <c r="E4" s="124"/>
      <c r="F4" s="124"/>
      <c r="G4" s="124"/>
      <c r="H4" s="124"/>
      <c r="I4" s="124"/>
      <c r="J4" s="124"/>
      <c r="K4" s="124"/>
      <c r="L4" s="124"/>
      <c r="M4" s="124"/>
    </row>
    <row r="5" spans="1:13" s="1" customFormat="1" ht="14.25">
      <c r="A5" s="138" t="s">
        <v>3</v>
      </c>
      <c r="B5" s="138"/>
      <c r="C5" s="138"/>
      <c r="D5" s="138"/>
      <c r="E5" s="138"/>
      <c r="F5" s="138"/>
      <c r="G5" s="138"/>
      <c r="H5" s="138"/>
      <c r="I5" s="138"/>
      <c r="J5" s="138"/>
      <c r="K5" s="138"/>
      <c r="L5" s="138"/>
      <c r="M5" s="138"/>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129" t="s">
        <v>113</v>
      </c>
      <c r="B8" s="130"/>
      <c r="C8" s="130"/>
      <c r="D8" s="130"/>
      <c r="E8" s="130"/>
      <c r="F8" s="130"/>
      <c r="G8" s="130"/>
      <c r="H8" s="130"/>
      <c r="I8" s="130"/>
      <c r="J8" s="130"/>
      <c r="K8" s="130"/>
      <c r="L8" s="130"/>
      <c r="M8" s="131"/>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128" t="s">
        <v>5</v>
      </c>
      <c r="J10" s="128"/>
      <c r="K10" s="128"/>
      <c r="L10" s="128"/>
      <c r="M10" s="128"/>
    </row>
    <row r="11" spans="1:13" s="1" customFormat="1" ht="12.75">
      <c r="A11" s="3"/>
      <c r="B11" s="5"/>
      <c r="C11" s="5"/>
      <c r="D11" s="5"/>
      <c r="E11" s="5"/>
      <c r="F11" s="6"/>
      <c r="G11" s="5"/>
      <c r="H11" s="5"/>
      <c r="I11" s="5"/>
      <c r="J11" s="5"/>
      <c r="K11" s="5"/>
      <c r="L11" s="5"/>
      <c r="M11" s="5"/>
    </row>
    <row r="12" spans="1:13" s="12" customFormat="1" ht="12">
      <c r="A12" s="9"/>
      <c r="B12" s="10" t="s">
        <v>6</v>
      </c>
      <c r="C12" s="10" t="s">
        <v>72</v>
      </c>
      <c r="D12" s="10" t="s">
        <v>6</v>
      </c>
      <c r="E12" s="10"/>
      <c r="F12" s="11" t="s">
        <v>7</v>
      </c>
      <c r="G12" s="10" t="s">
        <v>8</v>
      </c>
      <c r="H12" s="10"/>
      <c r="I12" s="10" t="s">
        <v>9</v>
      </c>
      <c r="J12" s="10" t="s">
        <v>83</v>
      </c>
      <c r="K12" s="10" t="s">
        <v>10</v>
      </c>
      <c r="L12" s="10" t="s">
        <v>84</v>
      </c>
      <c r="M12" s="10" t="s">
        <v>49</v>
      </c>
    </row>
    <row r="13" spans="1:13" s="12" customFormat="1" ht="12">
      <c r="A13" s="13" t="s">
        <v>11</v>
      </c>
      <c r="B13" s="8" t="s">
        <v>12</v>
      </c>
      <c r="C13" s="8" t="s">
        <v>19</v>
      </c>
      <c r="D13" s="8" t="s">
        <v>13</v>
      </c>
      <c r="E13" s="8" t="s">
        <v>14</v>
      </c>
      <c r="F13" s="14" t="s">
        <v>15</v>
      </c>
      <c r="G13" s="8" t="s">
        <v>16</v>
      </c>
      <c r="H13" s="15"/>
      <c r="I13" s="8" t="s">
        <v>17</v>
      </c>
      <c r="J13" s="8" t="s">
        <v>18</v>
      </c>
      <c r="K13" s="8" t="s">
        <v>19</v>
      </c>
      <c r="L13" s="8" t="s">
        <v>85</v>
      </c>
      <c r="M13" s="8" t="s">
        <v>50</v>
      </c>
    </row>
    <row r="15" spans="1:13" ht="12.75">
      <c r="A15" s="3">
        <v>42826</v>
      </c>
      <c r="B15" s="16">
        <v>61731802.480000004</v>
      </c>
      <c r="C15" s="16">
        <v>606076.61</v>
      </c>
      <c r="D15" s="16">
        <f aca="true" t="shared" si="0" ref="D15:D26">+B15-C15-E15</f>
        <v>56475848.050000004</v>
      </c>
      <c r="E15" s="16">
        <v>4649877.82</v>
      </c>
      <c r="F15" s="17">
        <v>838</v>
      </c>
      <c r="G15" s="16">
        <f>E15/F15/30</f>
        <v>184.95934049323787</v>
      </c>
      <c r="I15" s="16">
        <v>1906449.9100000001</v>
      </c>
      <c r="J15" s="16">
        <v>1627457.2399999998</v>
      </c>
      <c r="K15" s="16">
        <v>464987.79000000004</v>
      </c>
      <c r="L15" s="16">
        <v>464987.79000000004</v>
      </c>
      <c r="M15" s="16">
        <v>185995.09999999995</v>
      </c>
    </row>
    <row r="16" spans="1:13" ht="12.75">
      <c r="A16" s="3">
        <v>42856</v>
      </c>
      <c r="B16" s="16">
        <v>64374769.35</v>
      </c>
      <c r="C16" s="16">
        <f>745988.11-65861.6</f>
        <v>680126.51</v>
      </c>
      <c r="D16" s="16">
        <f t="shared" si="0"/>
        <v>59028694.84</v>
      </c>
      <c r="E16" s="16">
        <v>4665948.000000001</v>
      </c>
      <c r="F16" s="17">
        <v>838</v>
      </c>
      <c r="G16" s="16">
        <f>+E16/F16/31</f>
        <v>179.61151743783205</v>
      </c>
      <c r="I16" s="16">
        <v>1913038.69</v>
      </c>
      <c r="J16" s="16">
        <v>1633081.7899999998</v>
      </c>
      <c r="K16" s="16">
        <v>466594.8</v>
      </c>
      <c r="L16" s="16">
        <v>466594.8</v>
      </c>
      <c r="M16" s="16">
        <v>186637.94</v>
      </c>
    </row>
    <row r="17" spans="1:13" ht="12.75">
      <c r="A17" s="3">
        <v>42887</v>
      </c>
      <c r="B17" s="16">
        <v>58448017.6</v>
      </c>
      <c r="C17" s="16">
        <f>626737.54-36334.35</f>
        <v>590403.1900000001</v>
      </c>
      <c r="D17" s="16">
        <f t="shared" si="0"/>
        <v>53401416.35</v>
      </c>
      <c r="E17" s="16">
        <v>4456198.06</v>
      </c>
      <c r="F17" s="17">
        <v>838</v>
      </c>
      <c r="G17" s="16">
        <f>E17/F17/30</f>
        <v>177.25529276054095</v>
      </c>
      <c r="I17" s="16">
        <v>1827041.2200000002</v>
      </c>
      <c r="J17" s="16">
        <v>1559669.32</v>
      </c>
      <c r="K17" s="16">
        <v>445619.79999999993</v>
      </c>
      <c r="L17" s="16">
        <v>445619.79999999993</v>
      </c>
      <c r="M17" s="16">
        <v>178247.91000000003</v>
      </c>
    </row>
    <row r="18" spans="1:13" ht="12.75">
      <c r="A18" s="3">
        <v>42917</v>
      </c>
      <c r="B18" s="16">
        <v>67564491.47</v>
      </c>
      <c r="C18" s="16">
        <v>876646.81</v>
      </c>
      <c r="D18" s="16">
        <f t="shared" si="0"/>
        <v>61879093.87</v>
      </c>
      <c r="E18" s="16">
        <v>4808750.79</v>
      </c>
      <c r="F18" s="17">
        <v>838</v>
      </c>
      <c r="G18" s="16">
        <f>E18/F18/31</f>
        <v>185.10858380167832</v>
      </c>
      <c r="I18" s="16">
        <v>1971587.83</v>
      </c>
      <c r="J18" s="16">
        <v>1683062.78</v>
      </c>
      <c r="K18" s="16">
        <v>480875.08</v>
      </c>
      <c r="L18" s="16">
        <v>480875.08</v>
      </c>
      <c r="M18" s="16">
        <v>192350.02000000008</v>
      </c>
    </row>
    <row r="19" spans="1:13" ht="12.75">
      <c r="A19" s="3">
        <v>42948</v>
      </c>
      <c r="B19" s="16">
        <v>62216075.14000001</v>
      </c>
      <c r="C19" s="16">
        <v>636189.1599999999</v>
      </c>
      <c r="D19" s="16">
        <f t="shared" si="0"/>
        <v>56860355.24000001</v>
      </c>
      <c r="E19" s="16">
        <v>4719530.739999999</v>
      </c>
      <c r="F19" s="17">
        <v>838</v>
      </c>
      <c r="G19" s="16">
        <f>E19/F19/31</f>
        <v>181.67413734698587</v>
      </c>
      <c r="I19" s="16">
        <v>1935007.6099999996</v>
      </c>
      <c r="J19" s="16">
        <v>1651835.7800000005</v>
      </c>
      <c r="K19" s="16">
        <v>471953.06</v>
      </c>
      <c r="L19" s="16">
        <v>471953.06</v>
      </c>
      <c r="M19" s="16">
        <v>188781.22</v>
      </c>
    </row>
    <row r="20" spans="1:13" ht="12.75">
      <c r="A20" s="3">
        <v>42979</v>
      </c>
      <c r="B20" s="16">
        <v>61056538.57</v>
      </c>
      <c r="C20" s="16">
        <v>672406.7</v>
      </c>
      <c r="D20" s="16">
        <f t="shared" si="0"/>
        <v>55931721.19</v>
      </c>
      <c r="E20" s="16">
        <v>4452410.68</v>
      </c>
      <c r="F20" s="17">
        <v>838</v>
      </c>
      <c r="G20" s="16">
        <f>E20/F20/30</f>
        <v>177.1046412092283</v>
      </c>
      <c r="I20" s="16">
        <v>1825488.3900000001</v>
      </c>
      <c r="J20" s="16">
        <v>1558343.7500000005</v>
      </c>
      <c r="K20" s="16">
        <v>445241.0899999999</v>
      </c>
      <c r="L20" s="16">
        <v>445241.0899999999</v>
      </c>
      <c r="M20" s="16">
        <v>178096.43</v>
      </c>
    </row>
    <row r="21" spans="1:13" ht="12.75">
      <c r="A21" s="3">
        <v>43009</v>
      </c>
      <c r="B21" s="16">
        <v>61164528.93000001</v>
      </c>
      <c r="C21" s="16">
        <v>664380.1300000001</v>
      </c>
      <c r="D21" s="16">
        <f t="shared" si="0"/>
        <v>55931334.410000004</v>
      </c>
      <c r="E21" s="16">
        <v>4568814.390000001</v>
      </c>
      <c r="F21" s="17">
        <v>838</v>
      </c>
      <c r="G21" s="16">
        <f>E21/F21/31</f>
        <v>175.8724455308338</v>
      </c>
      <c r="I21" s="16">
        <v>1873213.9099999997</v>
      </c>
      <c r="J21" s="16">
        <v>1599085.0100000002</v>
      </c>
      <c r="K21" s="16">
        <v>456881.44</v>
      </c>
      <c r="L21" s="16">
        <v>456881.44</v>
      </c>
      <c r="M21" s="16">
        <v>182752.56999999998</v>
      </c>
    </row>
    <row r="22" spans="1:13" ht="12.75">
      <c r="A22" s="3">
        <v>43040</v>
      </c>
      <c r="B22" s="16">
        <v>59795202.629999995</v>
      </c>
      <c r="C22" s="16">
        <v>662563.21</v>
      </c>
      <c r="D22" s="16">
        <f t="shared" si="0"/>
        <v>54844739.849999994</v>
      </c>
      <c r="E22" s="16">
        <v>4287899.57</v>
      </c>
      <c r="F22" s="17">
        <v>838</v>
      </c>
      <c r="G22" s="16">
        <f>E22/F22/30</f>
        <v>170.5608420843278</v>
      </c>
      <c r="I22" s="16">
        <v>1758038.8199999996</v>
      </c>
      <c r="J22" s="16">
        <v>1500764.8399999996</v>
      </c>
      <c r="K22" s="16">
        <v>428789.97000000003</v>
      </c>
      <c r="L22" s="16">
        <v>428789.97000000003</v>
      </c>
      <c r="M22" s="16">
        <v>171515.99000000002</v>
      </c>
    </row>
    <row r="23" spans="1:13" ht="12.75">
      <c r="A23" s="3">
        <v>43070</v>
      </c>
      <c r="B23" s="16">
        <v>54206816.85000001</v>
      </c>
      <c r="C23" s="16">
        <v>563885.9599999997</v>
      </c>
      <c r="D23" s="16">
        <f t="shared" si="0"/>
        <v>49820626.470000006</v>
      </c>
      <c r="E23" s="16">
        <v>3822304.4199999995</v>
      </c>
      <c r="F23" s="17">
        <v>838</v>
      </c>
      <c r="G23" s="16">
        <f>E23/F23/31</f>
        <v>147.13620833012547</v>
      </c>
      <c r="I23" s="16">
        <v>1567144.8000000003</v>
      </c>
      <c r="J23" s="16">
        <v>1337806.55</v>
      </c>
      <c r="K23" s="16">
        <v>382230.4600000001</v>
      </c>
      <c r="L23" s="16">
        <v>382230.4600000001</v>
      </c>
      <c r="M23" s="16">
        <v>152892.19999999998</v>
      </c>
    </row>
    <row r="24" spans="1:13" ht="12.75">
      <c r="A24" s="3">
        <v>43101</v>
      </c>
      <c r="B24" s="16">
        <v>53200597.79999998</v>
      </c>
      <c r="C24" s="16">
        <v>468321.75</v>
      </c>
      <c r="D24" s="16">
        <f t="shared" si="0"/>
        <v>48833955.15999998</v>
      </c>
      <c r="E24" s="16">
        <v>3898320.8899999997</v>
      </c>
      <c r="F24" s="17">
        <v>838</v>
      </c>
      <c r="G24" s="16">
        <f>E24/F24/31</f>
        <v>150.06239471860803</v>
      </c>
      <c r="I24" s="16">
        <v>1598311.5799999998</v>
      </c>
      <c r="J24" s="16">
        <v>1364412.34</v>
      </c>
      <c r="K24" s="16">
        <v>389832.0900000001</v>
      </c>
      <c r="L24" s="16">
        <v>389832.0900000001</v>
      </c>
      <c r="M24" s="16">
        <v>155932.81</v>
      </c>
    </row>
    <row r="25" spans="1:13" ht="12.75">
      <c r="A25" s="3">
        <v>43132</v>
      </c>
      <c r="B25" s="16">
        <v>60646172.160000004</v>
      </c>
      <c r="C25" s="16">
        <v>678412.0599999999</v>
      </c>
      <c r="D25" s="16">
        <f t="shared" si="0"/>
        <v>55462977.07</v>
      </c>
      <c r="E25" s="16">
        <v>4504783.03</v>
      </c>
      <c r="F25" s="17">
        <v>838</v>
      </c>
      <c r="G25" s="16">
        <f>E25/F25/28</f>
        <v>191.98700264234574</v>
      </c>
      <c r="I25" s="16">
        <v>1846961.0299999998</v>
      </c>
      <c r="J25" s="16">
        <v>1576674.0800000003</v>
      </c>
      <c r="K25" s="16">
        <v>450478.32</v>
      </c>
      <c r="L25" s="16">
        <v>450478.32</v>
      </c>
      <c r="M25" s="16">
        <v>180191.34000000003</v>
      </c>
    </row>
    <row r="26" spans="1:13" ht="12.75">
      <c r="A26" s="3">
        <v>43160</v>
      </c>
      <c r="B26" s="16">
        <v>73773819.49</v>
      </c>
      <c r="C26" s="16">
        <v>781655.7699999998</v>
      </c>
      <c r="D26" s="16">
        <f t="shared" si="0"/>
        <v>67533178.03</v>
      </c>
      <c r="E26" s="16">
        <v>5458985.6899999995</v>
      </c>
      <c r="F26" s="17">
        <v>838</v>
      </c>
      <c r="G26" s="16">
        <f>E26/F26/31</f>
        <v>210.13879782893216</v>
      </c>
      <c r="I26" s="16">
        <v>2538751.8200000003</v>
      </c>
      <c r="J26" s="16">
        <v>1610077.31</v>
      </c>
      <c r="K26" s="16">
        <v>545898.6000000002</v>
      </c>
      <c r="L26" s="16">
        <v>545898.6000000002</v>
      </c>
      <c r="M26" s="16">
        <v>218359.43</v>
      </c>
    </row>
    <row r="27" spans="1:13" ht="13.5" thickBot="1">
      <c r="A27" s="59" t="s">
        <v>20</v>
      </c>
      <c r="B27" s="60">
        <f>SUM(B15:B26)</f>
        <v>738178832.4699999</v>
      </c>
      <c r="C27" s="60">
        <f>SUM(C15:C26)</f>
        <v>7881067.859999999</v>
      </c>
      <c r="D27" s="60">
        <f>SUM(D15:D26)</f>
        <v>676003940.5300001</v>
      </c>
      <c r="E27" s="60">
        <f>SUM(E15:E26)</f>
        <v>54293824.08</v>
      </c>
      <c r="F27" s="62">
        <f>SUM(F15:F26)/COUNT(F15:F26)</f>
        <v>838</v>
      </c>
      <c r="G27" s="60">
        <f>AVERAGE(G15:G26)</f>
        <v>177.622600348723</v>
      </c>
      <c r="H27" s="33"/>
      <c r="I27" s="60">
        <f>SUM(I15:I26)</f>
        <v>22561035.610000003</v>
      </c>
      <c r="J27" s="60">
        <f>SUM(J15:J26)</f>
        <v>18702270.79</v>
      </c>
      <c r="K27" s="60">
        <f>SUM(K15:K26)</f>
        <v>5429382.500000001</v>
      </c>
      <c r="L27" s="60">
        <f>SUM(L15:L26)</f>
        <v>5429382.500000001</v>
      </c>
      <c r="M27" s="60">
        <f>SUM(M15:M26)</f>
        <v>2171752.96</v>
      </c>
    </row>
    <row r="28" spans="2:13" ht="10.5" customHeight="1" thickTop="1">
      <c r="B28" s="19"/>
      <c r="C28" s="19"/>
      <c r="D28" s="19"/>
      <c r="E28" s="19"/>
      <c r="I28" s="19"/>
      <c r="J28" s="19"/>
      <c r="K28" s="19"/>
      <c r="L28" s="19"/>
      <c r="M28" s="19"/>
    </row>
    <row r="29" spans="1:13" s="22" customFormat="1" ht="12.75">
      <c r="A29" s="20"/>
      <c r="B29" s="21"/>
      <c r="C29" s="21">
        <f>C27/B27</f>
        <v>0.01067636663818898</v>
      </c>
      <c r="D29" s="21">
        <f>D27/B27</f>
        <v>0.9157725889647118</v>
      </c>
      <c r="E29" s="21">
        <f>E27/B27</f>
        <v>0.07355104439709945</v>
      </c>
      <c r="G29" s="108"/>
      <c r="I29" s="21">
        <f>I27/$E$27</f>
        <v>0.4155359470859361</v>
      </c>
      <c r="J29" s="21">
        <f>J27/$E$27</f>
        <v>0.34446405474115943</v>
      </c>
      <c r="K29" s="21">
        <f>K27/$E$27</f>
        <v>0.10000000169448373</v>
      </c>
      <c r="L29" s="21">
        <f>L27/$E$27</f>
        <v>0.10000000169448373</v>
      </c>
      <c r="M29" s="21">
        <f>M27/$E$27</f>
        <v>0.03999999994106144</v>
      </c>
    </row>
    <row r="31" spans="1:13" s="23" customFormat="1" ht="12.75">
      <c r="A31" s="129" t="s">
        <v>21</v>
      </c>
      <c r="B31" s="130"/>
      <c r="C31" s="130"/>
      <c r="D31" s="130"/>
      <c r="E31" s="130"/>
      <c r="F31" s="130"/>
      <c r="G31" s="130"/>
      <c r="H31" s="130"/>
      <c r="I31" s="130"/>
      <c r="J31" s="130"/>
      <c r="K31" s="130"/>
      <c r="L31" s="130"/>
      <c r="M31" s="131"/>
    </row>
    <row r="32" ht="12.75">
      <c r="A32" s="24"/>
    </row>
    <row r="33" spans="1:12" s="49" customFormat="1" ht="12.75" customHeight="1">
      <c r="A33" s="45" t="s">
        <v>22</v>
      </c>
      <c r="B33" s="46"/>
      <c r="C33" s="57" t="s">
        <v>94</v>
      </c>
      <c r="D33" s="58"/>
      <c r="E33" s="58"/>
      <c r="F33" s="58"/>
      <c r="G33" s="58"/>
      <c r="H33" s="58"/>
      <c r="I33" s="58"/>
      <c r="J33" s="58"/>
      <c r="K33" s="58"/>
      <c r="L33" s="58"/>
    </row>
    <row r="34" spans="1:12" s="49" customFormat="1" ht="12.75" customHeight="1">
      <c r="A34" s="45"/>
      <c r="B34" s="46"/>
      <c r="C34" s="57" t="s">
        <v>95</v>
      </c>
      <c r="D34" s="58"/>
      <c r="E34" s="58"/>
      <c r="F34" s="58"/>
      <c r="G34" s="58"/>
      <c r="H34" s="58"/>
      <c r="I34" s="58"/>
      <c r="J34" s="58"/>
      <c r="K34" s="58"/>
      <c r="L34" s="58"/>
    </row>
    <row r="35" spans="1:13" ht="6" customHeight="1">
      <c r="A35" s="25"/>
      <c r="B35" s="26"/>
      <c r="C35" s="26"/>
      <c r="D35" s="43"/>
      <c r="E35" s="43"/>
      <c r="F35" s="43"/>
      <c r="G35" s="43"/>
      <c r="H35" s="43"/>
      <c r="I35" s="43"/>
      <c r="J35" s="43"/>
      <c r="K35" s="43"/>
      <c r="L35" s="43"/>
      <c r="M35"/>
    </row>
    <row r="36" spans="1:13" ht="12.75">
      <c r="A36" s="25" t="s">
        <v>97</v>
      </c>
      <c r="B36" s="26"/>
      <c r="C36" s="26" t="s">
        <v>87</v>
      </c>
      <c r="F36" s="26"/>
      <c r="G36" s="26"/>
      <c r="H36" s="26"/>
      <c r="I36" s="26"/>
      <c r="J36" s="26"/>
      <c r="K36" s="26"/>
      <c r="L36" s="26"/>
      <c r="M36" s="26"/>
    </row>
    <row r="37" spans="1:13" ht="6" customHeight="1">
      <c r="A37" s="25"/>
      <c r="B37" s="26"/>
      <c r="C37" s="26"/>
      <c r="D37" s="26"/>
      <c r="F37" s="26"/>
      <c r="G37" s="26"/>
      <c r="H37" s="26"/>
      <c r="I37" s="26"/>
      <c r="J37" s="26"/>
      <c r="K37" s="26"/>
      <c r="L37" s="26"/>
      <c r="M37" s="26"/>
    </row>
    <row r="38" spans="1:13" ht="12.75">
      <c r="A38" s="25" t="s">
        <v>23</v>
      </c>
      <c r="B38" s="26"/>
      <c r="C38" s="57" t="s">
        <v>101</v>
      </c>
      <c r="F38" s="26"/>
      <c r="G38" s="26"/>
      <c r="H38" s="26"/>
      <c r="I38" s="26"/>
      <c r="J38" s="26"/>
      <c r="K38" s="26"/>
      <c r="L38" s="26"/>
      <c r="M38" s="26"/>
    </row>
    <row r="39" spans="1:13" ht="6" customHeight="1">
      <c r="A39" s="25"/>
      <c r="B39" s="26"/>
      <c r="C39" s="26"/>
      <c r="F39" s="26"/>
      <c r="G39" s="26"/>
      <c r="H39" s="26"/>
      <c r="I39" s="26"/>
      <c r="J39" s="26"/>
      <c r="K39" s="26"/>
      <c r="L39" s="26"/>
      <c r="M39" s="26"/>
    </row>
    <row r="40" spans="1:13" ht="12.75">
      <c r="A40" s="25" t="s">
        <v>25</v>
      </c>
      <c r="B40" s="26"/>
      <c r="C40" s="26" t="s">
        <v>64</v>
      </c>
      <c r="F40" s="27"/>
      <c r="G40" s="26"/>
      <c r="H40" s="26"/>
      <c r="I40" s="26"/>
      <c r="J40" s="26"/>
      <c r="K40" s="26"/>
      <c r="L40" s="26"/>
      <c r="M40" s="26"/>
    </row>
    <row r="41" spans="1:13" ht="12.75">
      <c r="A41" s="25"/>
      <c r="B41" s="26"/>
      <c r="C41" s="26" t="s">
        <v>63</v>
      </c>
      <c r="F41" s="27"/>
      <c r="G41" s="26"/>
      <c r="H41" s="26"/>
      <c r="I41" s="26"/>
      <c r="J41" s="26"/>
      <c r="K41" s="26"/>
      <c r="L41" s="26"/>
      <c r="M41" s="26"/>
    </row>
    <row r="42" spans="1:13" ht="6" customHeight="1">
      <c r="A42" s="25"/>
      <c r="B42" s="26"/>
      <c r="C42" s="26"/>
      <c r="F42" s="27"/>
      <c r="G42" s="26"/>
      <c r="H42" s="26"/>
      <c r="I42" s="26"/>
      <c r="J42" s="26"/>
      <c r="K42" s="26"/>
      <c r="L42" s="26"/>
      <c r="M42" s="26"/>
    </row>
    <row r="43" spans="1:13" ht="12.75">
      <c r="A43" s="25" t="s">
        <v>28</v>
      </c>
      <c r="B43" s="26"/>
      <c r="C43" s="26" t="s">
        <v>29</v>
      </c>
      <c r="F43" s="27"/>
      <c r="G43" s="26"/>
      <c r="H43" s="26"/>
      <c r="I43" s="26"/>
      <c r="J43" s="26"/>
      <c r="K43" s="26"/>
      <c r="L43" s="26"/>
      <c r="M43" s="26"/>
    </row>
    <row r="44" spans="1:13" ht="6" customHeight="1">
      <c r="A44" s="25"/>
      <c r="B44" s="26"/>
      <c r="C44" s="26"/>
      <c r="D44" s="26"/>
      <c r="F44" s="27"/>
      <c r="G44" s="26"/>
      <c r="H44" s="26"/>
      <c r="I44" s="26"/>
      <c r="J44" s="26"/>
      <c r="K44" s="26"/>
      <c r="L44" s="26"/>
      <c r="M44" s="26"/>
    </row>
    <row r="45" spans="1:12" s="49" customFormat="1" ht="12.75">
      <c r="A45" s="45" t="s">
        <v>74</v>
      </c>
      <c r="B45" s="46"/>
      <c r="C45" s="46" t="s">
        <v>103</v>
      </c>
      <c r="D45" s="47"/>
      <c r="E45" s="48"/>
      <c r="F45" s="46"/>
      <c r="G45" s="46"/>
      <c r="H45" s="46"/>
      <c r="I45" s="46"/>
      <c r="J45" s="46"/>
      <c r="K45" s="46"/>
      <c r="L45" s="46"/>
    </row>
    <row r="46" spans="1:12" s="49" customFormat="1" ht="12.75">
      <c r="A46" s="45"/>
      <c r="B46" s="46"/>
      <c r="C46" s="46" t="s">
        <v>81</v>
      </c>
      <c r="D46" s="47"/>
      <c r="E46" s="48"/>
      <c r="F46" s="46"/>
      <c r="G46" s="46"/>
      <c r="H46" s="46"/>
      <c r="I46" s="46"/>
      <c r="J46" s="46"/>
      <c r="K46" s="46"/>
      <c r="L46" s="46"/>
    </row>
    <row r="47" spans="1:12" s="49" customFormat="1" ht="12.75">
      <c r="A47" s="45"/>
      <c r="B47" s="46"/>
      <c r="C47" s="46" t="s">
        <v>82</v>
      </c>
      <c r="D47" s="47"/>
      <c r="E47" s="48"/>
      <c r="F47" s="46"/>
      <c r="G47" s="46"/>
      <c r="H47" s="46"/>
      <c r="I47" s="46"/>
      <c r="J47" s="46"/>
      <c r="K47" s="46"/>
      <c r="L47" s="46"/>
    </row>
    <row r="48" spans="1:13" ht="6" customHeight="1">
      <c r="A48" s="25"/>
      <c r="B48" s="26"/>
      <c r="C48" s="26"/>
      <c r="D48" s="26"/>
      <c r="F48" s="27"/>
      <c r="G48" s="26"/>
      <c r="H48" s="26"/>
      <c r="I48" s="26"/>
      <c r="J48" s="26"/>
      <c r="K48" s="26"/>
      <c r="L48" s="26"/>
      <c r="M48" s="26"/>
    </row>
    <row r="49" spans="1:12" s="49" customFormat="1" ht="12.75">
      <c r="A49" s="45" t="s">
        <v>30</v>
      </c>
      <c r="B49" s="46"/>
      <c r="C49" s="46" t="s">
        <v>104</v>
      </c>
      <c r="D49" s="47"/>
      <c r="E49" s="48"/>
      <c r="F49" s="46"/>
      <c r="G49" s="46"/>
      <c r="H49" s="46"/>
      <c r="I49" s="46"/>
      <c r="J49" s="46"/>
      <c r="K49" s="46"/>
      <c r="L49" s="46"/>
    </row>
    <row r="50" spans="1:12" s="49" customFormat="1" ht="12.75">
      <c r="A50" s="45"/>
      <c r="B50" s="46"/>
      <c r="C50" s="46" t="s">
        <v>105</v>
      </c>
      <c r="D50" s="47"/>
      <c r="E50" s="48"/>
      <c r="F50" s="46"/>
      <c r="G50" s="46"/>
      <c r="H50" s="46"/>
      <c r="I50" s="46"/>
      <c r="J50" s="46"/>
      <c r="K50" s="46"/>
      <c r="L50" s="46"/>
    </row>
    <row r="51" spans="1:13" ht="6" customHeight="1">
      <c r="A51" s="25"/>
      <c r="B51" s="26"/>
      <c r="C51" s="26"/>
      <c r="D51" s="26"/>
      <c r="F51" s="27"/>
      <c r="G51" s="26"/>
      <c r="H51" s="26"/>
      <c r="I51" s="26"/>
      <c r="J51" s="26"/>
      <c r="K51" s="26"/>
      <c r="L51" s="26"/>
      <c r="M51" s="26"/>
    </row>
    <row r="52" spans="1:12" s="49" customFormat="1" ht="12.75">
      <c r="A52" s="45" t="s">
        <v>86</v>
      </c>
      <c r="B52" s="46"/>
      <c r="C52" s="46" t="s">
        <v>79</v>
      </c>
      <c r="D52" s="47"/>
      <c r="E52" s="48"/>
      <c r="F52" s="46"/>
      <c r="G52" s="46"/>
      <c r="H52" s="46"/>
      <c r="I52" s="46"/>
      <c r="J52" s="46"/>
      <c r="K52" s="46"/>
      <c r="L52" s="46"/>
    </row>
    <row r="53" spans="1:12" s="49" customFormat="1" ht="12.75">
      <c r="A53" s="50"/>
      <c r="B53" s="46"/>
      <c r="C53" s="46" t="s">
        <v>80</v>
      </c>
      <c r="D53" s="47"/>
      <c r="E53" s="48"/>
      <c r="F53" s="46"/>
      <c r="G53" s="46"/>
      <c r="H53" s="46"/>
      <c r="I53" s="46"/>
      <c r="J53" s="46"/>
      <c r="K53" s="46"/>
      <c r="L53" s="46"/>
    </row>
    <row r="54" spans="1:13" ht="6" customHeight="1">
      <c r="A54" s="29"/>
      <c r="B54" s="30"/>
      <c r="C54" s="30"/>
      <c r="D54" s="30"/>
      <c r="E54" s="30"/>
      <c r="F54" s="31"/>
      <c r="G54" s="30"/>
      <c r="H54" s="30"/>
      <c r="I54" s="30"/>
      <c r="J54" s="30"/>
      <c r="K54" s="30"/>
      <c r="L54" s="30"/>
      <c r="M54" s="30"/>
    </row>
    <row r="55" spans="1:12" ht="12.75">
      <c r="A55" s="25" t="s">
        <v>51</v>
      </c>
      <c r="B55" s="26"/>
      <c r="C55" s="26" t="s">
        <v>65</v>
      </c>
      <c r="F55" s="27"/>
      <c r="G55" s="26"/>
      <c r="H55" s="26"/>
      <c r="I55" s="26"/>
      <c r="J55" s="26"/>
      <c r="K55" s="26"/>
      <c r="L55" s="26"/>
    </row>
    <row r="56" spans="1:12" ht="12.75">
      <c r="A56" s="28"/>
      <c r="B56" s="26"/>
      <c r="C56" s="26" t="s">
        <v>67</v>
      </c>
      <c r="F56" s="27"/>
      <c r="G56" s="26"/>
      <c r="H56" s="26"/>
      <c r="I56" s="26"/>
      <c r="J56" s="26"/>
      <c r="K56" s="26"/>
      <c r="L56" s="26"/>
    </row>
    <row r="57" spans="1:12" ht="12.75">
      <c r="A57" s="28"/>
      <c r="B57" s="26"/>
      <c r="C57" s="26" t="s">
        <v>66</v>
      </c>
      <c r="F57" s="27"/>
      <c r="G57" s="26"/>
      <c r="H57" s="26"/>
      <c r="I57" s="26"/>
      <c r="J57" s="26"/>
      <c r="K57" s="26"/>
      <c r="L57" s="26"/>
    </row>
    <row r="58" spans="1:13" ht="12.75">
      <c r="A58" s="29"/>
      <c r="B58" s="30"/>
      <c r="C58" s="30"/>
      <c r="D58" s="30"/>
      <c r="E58" s="30"/>
      <c r="F58" s="31"/>
      <c r="G58" s="30"/>
      <c r="H58" s="30"/>
      <c r="I58" s="30"/>
      <c r="J58" s="30"/>
      <c r="K58" s="30"/>
      <c r="L58" s="30"/>
      <c r="M58" s="30"/>
    </row>
    <row r="59" spans="1:13" s="23" customFormat="1" ht="12.75">
      <c r="A59" s="129" t="s">
        <v>31</v>
      </c>
      <c r="B59" s="130"/>
      <c r="C59" s="130"/>
      <c r="D59" s="130"/>
      <c r="E59" s="130"/>
      <c r="F59" s="130"/>
      <c r="G59" s="130"/>
      <c r="H59" s="130"/>
      <c r="I59" s="130"/>
      <c r="J59" s="130"/>
      <c r="K59" s="130"/>
      <c r="L59" s="130"/>
      <c r="M59" s="131"/>
    </row>
    <row r="60" ht="12.75">
      <c r="A60" s="24"/>
    </row>
    <row r="61" spans="1:12" ht="13.5">
      <c r="A61" s="32"/>
      <c r="E61" s="10" t="s">
        <v>9</v>
      </c>
      <c r="F61" s="128" t="s">
        <v>88</v>
      </c>
      <c r="G61" s="128"/>
      <c r="H61" s="128"/>
      <c r="I61" s="128"/>
      <c r="J61" s="10" t="s">
        <v>10</v>
      </c>
      <c r="K61" s="10" t="s">
        <v>84</v>
      </c>
      <c r="L61" s="10" t="s">
        <v>49</v>
      </c>
    </row>
    <row r="62" spans="1:12" ht="12.75">
      <c r="A62" s="35"/>
      <c r="E62" s="8" t="s">
        <v>17</v>
      </c>
      <c r="F62" s="8" t="s">
        <v>89</v>
      </c>
      <c r="G62" s="53" t="s">
        <v>90</v>
      </c>
      <c r="H62" s="36"/>
      <c r="I62" s="8" t="s">
        <v>91</v>
      </c>
      <c r="J62" s="8" t="s">
        <v>19</v>
      </c>
      <c r="K62" s="8" t="s">
        <v>85</v>
      </c>
      <c r="L62" s="8" t="s">
        <v>50</v>
      </c>
    </row>
    <row r="63" spans="2:12" ht="12.75">
      <c r="B63" s="39" t="s">
        <v>35</v>
      </c>
      <c r="C63" s="39"/>
      <c r="D63" s="39"/>
      <c r="E63" s="54">
        <v>0.41</v>
      </c>
      <c r="F63" s="54">
        <v>0.25</v>
      </c>
      <c r="G63" s="55">
        <v>0.0875</v>
      </c>
      <c r="H63" s="56"/>
      <c r="I63" s="54">
        <v>0.0125</v>
      </c>
      <c r="J63" s="54">
        <v>0.1</v>
      </c>
      <c r="K63" s="54">
        <v>0.1</v>
      </c>
      <c r="L63" s="54">
        <v>0.04</v>
      </c>
    </row>
    <row r="64" spans="2:12" ht="12.75">
      <c r="B64" s="39" t="s">
        <v>58</v>
      </c>
      <c r="C64" s="39"/>
      <c r="D64" s="39"/>
      <c r="E64" s="54">
        <v>0.48</v>
      </c>
      <c r="F64" s="54">
        <v>0.18</v>
      </c>
      <c r="G64" s="55">
        <v>0.0875</v>
      </c>
      <c r="H64" s="56"/>
      <c r="I64" s="54">
        <v>0.0125</v>
      </c>
      <c r="J64" s="54">
        <v>0.1</v>
      </c>
      <c r="K64" s="54">
        <v>0.1</v>
      </c>
      <c r="L64" s="54">
        <v>0.04</v>
      </c>
    </row>
    <row r="65" spans="2:12" ht="12.75">
      <c r="B65" s="39" t="s">
        <v>107</v>
      </c>
      <c r="C65" s="39"/>
      <c r="D65" s="39"/>
      <c r="E65" s="54">
        <v>0.52</v>
      </c>
      <c r="F65" s="54">
        <v>0.18</v>
      </c>
      <c r="G65" s="55">
        <v>0.0875</v>
      </c>
      <c r="H65" s="56"/>
      <c r="I65" s="54">
        <v>0.0125</v>
      </c>
      <c r="J65" s="54">
        <v>0.1</v>
      </c>
      <c r="K65" s="54">
        <v>0.1</v>
      </c>
      <c r="L65" s="54">
        <v>0</v>
      </c>
    </row>
    <row r="66" spans="2:12" ht="12.75">
      <c r="B66" s="39" t="s">
        <v>38</v>
      </c>
      <c r="C66" s="39"/>
      <c r="D66" s="39"/>
      <c r="E66" s="54">
        <v>0.55</v>
      </c>
      <c r="F66" s="54">
        <v>0.15</v>
      </c>
      <c r="G66" s="55">
        <v>0.0875</v>
      </c>
      <c r="H66" s="56"/>
      <c r="I66" s="54">
        <v>0.0125</v>
      </c>
      <c r="J66" s="54">
        <v>0.1</v>
      </c>
      <c r="K66" s="54">
        <v>0.1</v>
      </c>
      <c r="L66" s="54">
        <v>0</v>
      </c>
    </row>
    <row r="67" spans="2:12" ht="12.75">
      <c r="B67" s="39"/>
      <c r="C67" s="39"/>
      <c r="D67" s="39"/>
      <c r="E67" s="26"/>
      <c r="F67" s="27"/>
      <c r="G67" s="40"/>
      <c r="H67" s="26"/>
      <c r="I67" s="40"/>
      <c r="J67" s="40"/>
      <c r="K67" s="40"/>
      <c r="L67" s="40"/>
    </row>
    <row r="68" spans="1:13" s="23" customFormat="1" ht="12.75">
      <c r="A68" s="132" t="s">
        <v>43</v>
      </c>
      <c r="B68" s="133"/>
      <c r="C68" s="133"/>
      <c r="D68" s="133"/>
      <c r="E68" s="133"/>
      <c r="F68" s="133"/>
      <c r="G68" s="133"/>
      <c r="H68" s="133"/>
      <c r="I68" s="133"/>
      <c r="J68" s="133"/>
      <c r="K68" s="133"/>
      <c r="L68" s="133"/>
      <c r="M68" s="134"/>
    </row>
    <row r="69" spans="1:6" ht="9" customHeight="1">
      <c r="A69" s="24"/>
      <c r="E69"/>
      <c r="F69" s="16"/>
    </row>
    <row r="70" spans="1:13" ht="52.5" customHeight="1">
      <c r="A70" s="121" t="s">
        <v>114</v>
      </c>
      <c r="B70" s="135"/>
      <c r="C70" s="135"/>
      <c r="D70" s="135"/>
      <c r="E70" s="135"/>
      <c r="F70" s="135"/>
      <c r="G70" s="135"/>
      <c r="H70" s="135"/>
      <c r="I70" s="135"/>
      <c r="J70" s="135"/>
      <c r="K70" s="135"/>
      <c r="L70" s="135"/>
      <c r="M70" s="135"/>
    </row>
    <row r="71" spans="1:6" ht="12.75">
      <c r="A71" s="16"/>
      <c r="E71"/>
      <c r="F71" s="16"/>
    </row>
    <row r="72" spans="2:5" ht="12.75">
      <c r="B72" s="24" t="s">
        <v>44</v>
      </c>
      <c r="C72" s="24"/>
      <c r="D72" s="24"/>
      <c r="E72" s="16">
        <v>440789</v>
      </c>
    </row>
    <row r="73" spans="2:5" ht="12.75">
      <c r="B73" s="24" t="s">
        <v>45</v>
      </c>
      <c r="C73" s="24"/>
      <c r="D73" s="24"/>
      <c r="E73" s="16">
        <v>160388</v>
      </c>
    </row>
    <row r="74" spans="2:5" ht="12.75">
      <c r="B74" s="16" t="s">
        <v>46</v>
      </c>
      <c r="E74" s="16">
        <v>200392</v>
      </c>
    </row>
    <row r="75" ht="12.75">
      <c r="E75" s="16" t="s">
        <v>39</v>
      </c>
    </row>
    <row r="76" ht="12.75">
      <c r="A76" s="28" t="s">
        <v>98</v>
      </c>
    </row>
  </sheetData>
  <sheetProtection/>
  <mergeCells count="12">
    <mergeCell ref="A1:M1"/>
    <mergeCell ref="A2:M2"/>
    <mergeCell ref="A3:M3"/>
    <mergeCell ref="A4:M4"/>
    <mergeCell ref="A5:M5"/>
    <mergeCell ref="A8:M8"/>
    <mergeCell ref="I10:M10"/>
    <mergeCell ref="A31:M31"/>
    <mergeCell ref="A59:M59"/>
    <mergeCell ref="F61:I61"/>
    <mergeCell ref="A68:M68"/>
    <mergeCell ref="A70:M70"/>
  </mergeCells>
  <hyperlinks>
    <hyperlink ref="A4" r:id="rId1" display="www.batavia-downs.com"/>
  </hyperlinks>
  <printOptions/>
  <pageMargins left="0.25" right="0.25" top="0.75" bottom="0.5" header="0.5" footer="0.5"/>
  <pageSetup fitToHeight="1" fitToWidth="1" horizontalDpi="600" verticalDpi="600" orientation="portrait" scale="68" r:id="rId3"/>
  <ignoredErrors>
    <ignoredError sqref="G16:G25" formula="1"/>
  </ignoredErrors>
  <drawing r:id="rId2"/>
</worksheet>
</file>

<file path=xl/worksheets/sheet8.xml><?xml version="1.0" encoding="utf-8"?>
<worksheet xmlns="http://schemas.openxmlformats.org/spreadsheetml/2006/main" xmlns:r="http://schemas.openxmlformats.org/officeDocument/2006/relationships">
  <sheetPr>
    <pageSetUpPr fitToPage="1"/>
  </sheetPr>
  <dimension ref="A1:M76"/>
  <sheetViews>
    <sheetView zoomScalePageLayoutView="0" workbookViewId="0" topLeftCell="A7">
      <selection activeCell="F27" sqref="F27"/>
    </sheetView>
  </sheetViews>
  <sheetFormatPr defaultColWidth="9.140625" defaultRowHeight="12.75"/>
  <cols>
    <col min="1" max="1" width="9.28125" style="3" customWidth="1"/>
    <col min="2" max="2" width="16.00390625" style="16" customWidth="1"/>
    <col min="3" max="3" width="13.140625" style="16" customWidth="1"/>
    <col min="4" max="4" width="14.421875" style="16" bestFit="1" customWidth="1"/>
    <col min="5" max="5" width="12.7109375" style="16" customWidth="1"/>
    <col min="6" max="6" width="8.8515625" style="17" customWidth="1"/>
    <col min="7" max="7" width="10.28125" style="16" customWidth="1"/>
    <col min="8" max="8" width="1.421875" style="16" customWidth="1"/>
    <col min="9" max="9" width="12.421875" style="16" customWidth="1"/>
    <col min="10" max="10" width="12.8515625" style="16" customWidth="1"/>
    <col min="11" max="12" width="13.7109375" style="16" customWidth="1"/>
    <col min="13" max="13" width="13.28125" style="16" customWidth="1"/>
    <col min="14" max="14" width="12.7109375" style="0" customWidth="1"/>
  </cols>
  <sheetData>
    <row r="1" spans="1:13" ht="18">
      <c r="A1" s="136" t="s">
        <v>100</v>
      </c>
      <c r="B1" s="136"/>
      <c r="C1" s="136"/>
      <c r="D1" s="136"/>
      <c r="E1" s="136"/>
      <c r="F1" s="136"/>
      <c r="G1" s="136"/>
      <c r="H1" s="136"/>
      <c r="I1" s="136"/>
      <c r="J1" s="136"/>
      <c r="K1" s="136"/>
      <c r="L1" s="136"/>
      <c r="M1" s="136"/>
    </row>
    <row r="2" spans="1:13" ht="15">
      <c r="A2" s="137" t="s">
        <v>0</v>
      </c>
      <c r="B2" s="137"/>
      <c r="C2" s="137"/>
      <c r="D2" s="137"/>
      <c r="E2" s="137"/>
      <c r="F2" s="137"/>
      <c r="G2" s="137"/>
      <c r="H2" s="137"/>
      <c r="I2" s="137"/>
      <c r="J2" s="137"/>
      <c r="K2" s="137"/>
      <c r="L2" s="137"/>
      <c r="M2" s="137"/>
    </row>
    <row r="3" spans="1:13" s="1" customFormat="1" ht="15">
      <c r="A3" s="137" t="s">
        <v>1</v>
      </c>
      <c r="B3" s="137"/>
      <c r="C3" s="137"/>
      <c r="D3" s="137"/>
      <c r="E3" s="137"/>
      <c r="F3" s="137"/>
      <c r="G3" s="137"/>
      <c r="H3" s="137"/>
      <c r="I3" s="137"/>
      <c r="J3" s="137"/>
      <c r="K3" s="137"/>
      <c r="L3" s="137"/>
      <c r="M3" s="137"/>
    </row>
    <row r="4" spans="1:13" s="1" customFormat="1" ht="14.25">
      <c r="A4" s="124" t="s">
        <v>2</v>
      </c>
      <c r="B4" s="124"/>
      <c r="C4" s="124"/>
      <c r="D4" s="124"/>
      <c r="E4" s="124"/>
      <c r="F4" s="124"/>
      <c r="G4" s="124"/>
      <c r="H4" s="124"/>
      <c r="I4" s="124"/>
      <c r="J4" s="124"/>
      <c r="K4" s="124"/>
      <c r="L4" s="124"/>
      <c r="M4" s="124"/>
    </row>
    <row r="5" spans="1:13" s="1" customFormat="1" ht="14.25">
      <c r="A5" s="138" t="s">
        <v>3</v>
      </c>
      <c r="B5" s="138"/>
      <c r="C5" s="138"/>
      <c r="D5" s="138"/>
      <c r="E5" s="138"/>
      <c r="F5" s="138"/>
      <c r="G5" s="138"/>
      <c r="H5" s="138"/>
      <c r="I5" s="138"/>
      <c r="J5" s="138"/>
      <c r="K5" s="138"/>
      <c r="L5" s="138"/>
      <c r="M5" s="138"/>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129" t="s">
        <v>111</v>
      </c>
      <c r="B8" s="130"/>
      <c r="C8" s="130"/>
      <c r="D8" s="130"/>
      <c r="E8" s="130"/>
      <c r="F8" s="130"/>
      <c r="G8" s="130"/>
      <c r="H8" s="130"/>
      <c r="I8" s="130"/>
      <c r="J8" s="130"/>
      <c r="K8" s="130"/>
      <c r="L8" s="130"/>
      <c r="M8" s="131"/>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128" t="s">
        <v>5</v>
      </c>
      <c r="J10" s="128"/>
      <c r="K10" s="128"/>
      <c r="L10" s="128"/>
      <c r="M10" s="128"/>
    </row>
    <row r="11" spans="1:13" s="1" customFormat="1" ht="12.75">
      <c r="A11" s="3"/>
      <c r="B11" s="5"/>
      <c r="C11" s="5"/>
      <c r="D11" s="5"/>
      <c r="E11" s="5"/>
      <c r="F11" s="6"/>
      <c r="G11" s="5"/>
      <c r="H11" s="5"/>
      <c r="I11" s="5"/>
      <c r="J11" s="5"/>
      <c r="K11" s="5"/>
      <c r="L11" s="5"/>
      <c r="M11" s="5"/>
    </row>
    <row r="12" spans="1:13" s="12" customFormat="1" ht="12">
      <c r="A12" s="9"/>
      <c r="B12" s="10" t="s">
        <v>6</v>
      </c>
      <c r="C12" s="10" t="s">
        <v>72</v>
      </c>
      <c r="D12" s="10" t="s">
        <v>6</v>
      </c>
      <c r="E12" s="10"/>
      <c r="F12" s="11" t="s">
        <v>7</v>
      </c>
      <c r="G12" s="10" t="s">
        <v>8</v>
      </c>
      <c r="H12" s="10"/>
      <c r="I12" s="10" t="s">
        <v>9</v>
      </c>
      <c r="J12" s="10" t="s">
        <v>83</v>
      </c>
      <c r="K12" s="10" t="s">
        <v>10</v>
      </c>
      <c r="L12" s="10" t="s">
        <v>84</v>
      </c>
      <c r="M12" s="10" t="s">
        <v>49</v>
      </c>
    </row>
    <row r="13" spans="1:13" s="12" customFormat="1" ht="12">
      <c r="A13" s="13" t="s">
        <v>11</v>
      </c>
      <c r="B13" s="8" t="s">
        <v>12</v>
      </c>
      <c r="C13" s="8" t="s">
        <v>19</v>
      </c>
      <c r="D13" s="8" t="s">
        <v>13</v>
      </c>
      <c r="E13" s="8" t="s">
        <v>14</v>
      </c>
      <c r="F13" s="14" t="s">
        <v>15</v>
      </c>
      <c r="G13" s="8" t="s">
        <v>16</v>
      </c>
      <c r="H13" s="15"/>
      <c r="I13" s="8" t="s">
        <v>17</v>
      </c>
      <c r="J13" s="8" t="s">
        <v>18</v>
      </c>
      <c r="K13" s="8" t="s">
        <v>19</v>
      </c>
      <c r="L13" s="8" t="s">
        <v>85</v>
      </c>
      <c r="M13" s="8" t="s">
        <v>50</v>
      </c>
    </row>
    <row r="15" spans="1:13" ht="12.75">
      <c r="A15" s="3">
        <v>42461</v>
      </c>
      <c r="B15" s="16">
        <v>62800650.63</v>
      </c>
      <c r="C15" s="16">
        <v>623214.88</v>
      </c>
      <c r="D15" s="16">
        <f aca="true" t="shared" si="0" ref="D15:D26">+B15-C15-E15</f>
        <v>57576899.91</v>
      </c>
      <c r="E15" s="16">
        <v>4600535.84</v>
      </c>
      <c r="F15" s="17">
        <v>793</v>
      </c>
      <c r="G15" s="16">
        <f>E15/F15/30</f>
        <v>193.38107776376629</v>
      </c>
      <c r="I15" s="16">
        <v>1886219.68</v>
      </c>
      <c r="J15" s="16">
        <v>1610187.55</v>
      </c>
      <c r="K15" s="16">
        <v>460053.61</v>
      </c>
      <c r="L15" s="16">
        <v>460053.61</v>
      </c>
      <c r="M15" s="16">
        <v>184021.39</v>
      </c>
    </row>
    <row r="16" spans="1:13" ht="12.75">
      <c r="A16" s="3">
        <v>42491</v>
      </c>
      <c r="B16" s="16">
        <v>63848925.16</v>
      </c>
      <c r="C16" s="16">
        <v>705565.09</v>
      </c>
      <c r="D16" s="16">
        <f t="shared" si="0"/>
        <v>58458461.61999999</v>
      </c>
      <c r="E16" s="16">
        <v>4684898.45</v>
      </c>
      <c r="F16" s="17">
        <v>793</v>
      </c>
      <c r="G16" s="16">
        <v>191</v>
      </c>
      <c r="I16" s="16">
        <v>1920808.37</v>
      </c>
      <c r="J16" s="16">
        <v>1639714.49</v>
      </c>
      <c r="K16" s="16">
        <v>468489.89</v>
      </c>
      <c r="L16" s="16">
        <v>468489.89</v>
      </c>
      <c r="M16" s="16">
        <v>187395.92</v>
      </c>
    </row>
    <row r="17" spans="1:13" ht="12.75">
      <c r="A17" s="3">
        <v>42522</v>
      </c>
      <c r="B17" s="16">
        <v>57253563.02</v>
      </c>
      <c r="C17" s="16">
        <v>601483.13</v>
      </c>
      <c r="D17" s="16">
        <f t="shared" si="0"/>
        <v>52361927.61</v>
      </c>
      <c r="E17" s="16">
        <v>4290152.28</v>
      </c>
      <c r="F17" s="17">
        <v>793</v>
      </c>
      <c r="G17" s="16">
        <v>180</v>
      </c>
      <c r="I17" s="16">
        <v>1758962.44</v>
      </c>
      <c r="J17" s="16">
        <v>1501553.3</v>
      </c>
      <c r="K17" s="16">
        <v>429015.24</v>
      </c>
      <c r="L17" s="16">
        <v>429015.24</v>
      </c>
      <c r="M17" s="16">
        <v>171606.11</v>
      </c>
    </row>
    <row r="18" spans="1:13" ht="12.75">
      <c r="A18" s="3">
        <v>42552</v>
      </c>
      <c r="B18" s="16">
        <v>65458826.9</v>
      </c>
      <c r="C18" s="16">
        <v>698305.19</v>
      </c>
      <c r="D18" s="16">
        <f t="shared" si="0"/>
        <v>59744173.02</v>
      </c>
      <c r="E18" s="16">
        <v>5016348.69</v>
      </c>
      <c r="F18" s="17">
        <v>793</v>
      </c>
      <c r="G18" s="16">
        <v>204</v>
      </c>
      <c r="I18" s="16">
        <v>2056702.94</v>
      </c>
      <c r="J18" s="16">
        <v>1755722.02</v>
      </c>
      <c r="K18" s="16">
        <v>501634.89</v>
      </c>
      <c r="L18" s="16">
        <v>501634.89</v>
      </c>
      <c r="M18" s="16">
        <v>200653.96</v>
      </c>
    </row>
    <row r="19" spans="1:13" ht="12.75">
      <c r="A19" s="3">
        <v>42583</v>
      </c>
      <c r="B19" s="16">
        <v>60927761</v>
      </c>
      <c r="C19" s="16">
        <v>671472.13</v>
      </c>
      <c r="D19" s="16">
        <f t="shared" si="0"/>
        <v>55732583.37</v>
      </c>
      <c r="E19" s="16">
        <v>4523705.5</v>
      </c>
      <c r="F19" s="17">
        <v>793</v>
      </c>
      <c r="G19" s="16">
        <v>184</v>
      </c>
      <c r="I19" s="16">
        <v>1854719.27</v>
      </c>
      <c r="J19" s="16">
        <v>1583296.97</v>
      </c>
      <c r="K19" s="16">
        <v>452370.54</v>
      </c>
      <c r="L19" s="16">
        <v>452370.54</v>
      </c>
      <c r="M19" s="16">
        <v>180948.22</v>
      </c>
    </row>
    <row r="20" spans="1:13" ht="12.75">
      <c r="A20" s="3">
        <v>42614</v>
      </c>
      <c r="B20" s="16">
        <v>59355939.79</v>
      </c>
      <c r="C20" s="16">
        <v>609213.93</v>
      </c>
      <c r="D20" s="16">
        <f t="shared" si="0"/>
        <v>54344596.42</v>
      </c>
      <c r="E20" s="16">
        <v>4402129.44</v>
      </c>
      <c r="F20" s="17">
        <v>793</v>
      </c>
      <c r="G20" s="16">
        <v>185</v>
      </c>
      <c r="I20" s="16">
        <v>1804873.07</v>
      </c>
      <c r="J20" s="16">
        <v>1540745.32</v>
      </c>
      <c r="K20" s="16">
        <v>440212.94</v>
      </c>
      <c r="L20" s="16">
        <v>440212.95</v>
      </c>
      <c r="M20" s="16">
        <v>176085.18</v>
      </c>
    </row>
    <row r="21" spans="1:13" ht="12.75">
      <c r="A21" s="3">
        <v>42644</v>
      </c>
      <c r="B21" s="16">
        <v>58810534.89</v>
      </c>
      <c r="C21" s="16">
        <v>664435.38</v>
      </c>
      <c r="D21" s="16">
        <f t="shared" si="0"/>
        <v>53758849.15</v>
      </c>
      <c r="E21" s="16">
        <v>4387250.36</v>
      </c>
      <c r="F21" s="17">
        <v>793</v>
      </c>
      <c r="G21" s="16">
        <v>178</v>
      </c>
      <c r="I21" s="16">
        <v>1798772.64</v>
      </c>
      <c r="J21" s="16">
        <v>1535537.61</v>
      </c>
      <c r="K21" s="16">
        <v>438725.04</v>
      </c>
      <c r="L21" s="16">
        <v>438725.04</v>
      </c>
      <c r="M21" s="16">
        <v>175489.99</v>
      </c>
    </row>
    <row r="22" spans="1:13" ht="12.75">
      <c r="A22" s="3">
        <v>42675</v>
      </c>
      <c r="B22" s="16">
        <v>57546876.68</v>
      </c>
      <c r="C22" s="16">
        <v>703439.41</v>
      </c>
      <c r="D22" s="16">
        <f t="shared" si="0"/>
        <v>52724219.260000005</v>
      </c>
      <c r="E22" s="16">
        <v>4119218.01</v>
      </c>
      <c r="F22" s="17">
        <v>793</v>
      </c>
      <c r="G22" s="16">
        <v>173</v>
      </c>
      <c r="I22" s="16">
        <v>1688879.4</v>
      </c>
      <c r="J22" s="16">
        <v>1441726.34</v>
      </c>
      <c r="K22" s="16">
        <v>411921.8</v>
      </c>
      <c r="L22" s="16">
        <v>411921.81</v>
      </c>
      <c r="M22" s="16">
        <v>164768.69</v>
      </c>
    </row>
    <row r="23" spans="1:13" ht="12.75">
      <c r="A23" s="3">
        <v>42705</v>
      </c>
      <c r="B23" s="16">
        <v>54620058.02</v>
      </c>
      <c r="C23" s="16">
        <v>619463.05</v>
      </c>
      <c r="D23" s="16">
        <f t="shared" si="0"/>
        <v>49967856.82000001</v>
      </c>
      <c r="E23" s="16">
        <v>4032738.15</v>
      </c>
      <c r="F23" s="17">
        <v>794</v>
      </c>
      <c r="G23" s="16">
        <v>164</v>
      </c>
      <c r="I23" s="16">
        <v>1653422.62</v>
      </c>
      <c r="J23" s="16">
        <v>1411458.35</v>
      </c>
      <c r="K23" s="16">
        <v>403273.81</v>
      </c>
      <c r="L23" s="16">
        <v>403273.81</v>
      </c>
      <c r="M23" s="16">
        <v>161309.57</v>
      </c>
    </row>
    <row r="24" spans="1:13" ht="12.75">
      <c r="A24" s="3">
        <v>42736</v>
      </c>
      <c r="B24" s="16">
        <v>60790210.18</v>
      </c>
      <c r="C24" s="16">
        <v>832385.46</v>
      </c>
      <c r="D24" s="16">
        <f t="shared" si="0"/>
        <v>55631828.35</v>
      </c>
      <c r="E24" s="16">
        <v>4325996.37</v>
      </c>
      <c r="F24" s="17">
        <v>812</v>
      </c>
      <c r="G24" s="16">
        <v>172</v>
      </c>
      <c r="I24" s="16">
        <v>1773658.49</v>
      </c>
      <c r="J24" s="16">
        <v>1514098.72</v>
      </c>
      <c r="K24" s="16">
        <v>432599.67</v>
      </c>
      <c r="L24" s="16">
        <v>432599.65</v>
      </c>
      <c r="M24" s="16">
        <v>173039.86</v>
      </c>
    </row>
    <row r="25" spans="1:13" ht="12.75">
      <c r="A25" s="3">
        <v>42767</v>
      </c>
      <c r="B25" s="16">
        <v>59159779.96</v>
      </c>
      <c r="C25" s="16">
        <v>640071.09</v>
      </c>
      <c r="D25" s="16">
        <f t="shared" si="0"/>
        <v>54015144.95999999</v>
      </c>
      <c r="E25" s="16">
        <v>4504563.91</v>
      </c>
      <c r="F25" s="17">
        <v>834</v>
      </c>
      <c r="G25" s="16">
        <v>193</v>
      </c>
      <c r="I25" s="16">
        <v>1846871.2</v>
      </c>
      <c r="J25" s="16">
        <v>1576597.35</v>
      </c>
      <c r="K25" s="16">
        <v>450456.38</v>
      </c>
      <c r="L25" s="16">
        <v>450456.39</v>
      </c>
      <c r="M25" s="16">
        <v>180182.56</v>
      </c>
    </row>
    <row r="26" spans="1:13" ht="12.75">
      <c r="A26" s="3">
        <v>42795</v>
      </c>
      <c r="B26" s="16">
        <v>61328580.96</v>
      </c>
      <c r="C26" s="16">
        <v>506111.13</v>
      </c>
      <c r="D26" s="16">
        <f t="shared" si="0"/>
        <v>56134770.07</v>
      </c>
      <c r="E26" s="16">
        <v>4687699.76</v>
      </c>
      <c r="F26" s="17">
        <v>838</v>
      </c>
      <c r="G26" s="16">
        <v>180</v>
      </c>
      <c r="I26" s="16">
        <v>2172223.47</v>
      </c>
      <c r="J26" s="16">
        <v>1390428.33</v>
      </c>
      <c r="K26" s="16">
        <v>468769.98</v>
      </c>
      <c r="L26" s="16">
        <v>468769.99</v>
      </c>
      <c r="M26" s="16">
        <v>187507.99</v>
      </c>
    </row>
    <row r="27" spans="1:13" ht="13.5" thickBot="1">
      <c r="A27" s="59" t="s">
        <v>20</v>
      </c>
      <c r="B27" s="60">
        <f>SUM(B15:B26)</f>
        <v>721901707.19</v>
      </c>
      <c r="C27" s="60">
        <f>SUM(C15:C26)</f>
        <v>7875159.87</v>
      </c>
      <c r="D27" s="60">
        <f>SUM(D15:D26)</f>
        <v>660451310.5600001</v>
      </c>
      <c r="E27" s="60">
        <f>SUM(E15:E26)</f>
        <v>53575236.76</v>
      </c>
      <c r="F27" s="61">
        <f>AVERAGE(F15:F26)</f>
        <v>801.8333333333334</v>
      </c>
      <c r="G27" s="109">
        <f>AVERAGE(G15:G26)</f>
        <v>183.1150898136472</v>
      </c>
      <c r="H27" s="33"/>
      <c r="I27" s="60">
        <f>SUM(I15:I26)</f>
        <v>22216113.589999996</v>
      </c>
      <c r="J27" s="60">
        <f>SUM(J15:J26)</f>
        <v>18501066.35</v>
      </c>
      <c r="K27" s="60">
        <f>SUM(K15:K26)</f>
        <v>5357523.789999999</v>
      </c>
      <c r="L27" s="60">
        <f>SUM(L15:L26)</f>
        <v>5357523.8100000005</v>
      </c>
      <c r="M27" s="60">
        <f>SUM(M15:M26)</f>
        <v>2143009.4400000004</v>
      </c>
    </row>
    <row r="28" spans="2:13" ht="10.5" customHeight="1" thickTop="1">
      <c r="B28" s="19"/>
      <c r="C28" s="19"/>
      <c r="D28" s="19"/>
      <c r="E28" s="19"/>
      <c r="I28" s="19"/>
      <c r="J28" s="19"/>
      <c r="K28" s="19"/>
      <c r="L28" s="19"/>
      <c r="M28" s="19"/>
    </row>
    <row r="29" spans="1:13" s="22" customFormat="1" ht="12.75">
      <c r="A29" s="20"/>
      <c r="B29" s="21"/>
      <c r="C29" s="21">
        <f>C27/B27</f>
        <v>0.010908908777420729</v>
      </c>
      <c r="D29" s="21">
        <f>D27/B27</f>
        <v>0.9148770587214768</v>
      </c>
      <c r="E29" s="21">
        <f>E27/B27</f>
        <v>0.07421403250110244</v>
      </c>
      <c r="I29" s="21">
        <f>I27/$E$27</f>
        <v>0.41467130961121296</v>
      </c>
      <c r="J29" s="21">
        <f>J27/$E$27</f>
        <v>0.3453286904335839</v>
      </c>
      <c r="K29" s="21">
        <f>K27/$E$27</f>
        <v>0.10000000212784872</v>
      </c>
      <c r="L29" s="21">
        <f>L27/$E$27</f>
        <v>0.10000000250115555</v>
      </c>
      <c r="M29" s="21">
        <f>M27/$E$27</f>
        <v>0.03999999943257368</v>
      </c>
    </row>
    <row r="31" spans="1:13" s="23" customFormat="1" ht="12.75">
      <c r="A31" s="129" t="s">
        <v>21</v>
      </c>
      <c r="B31" s="130"/>
      <c r="C31" s="130"/>
      <c r="D31" s="130"/>
      <c r="E31" s="130"/>
      <c r="F31" s="130"/>
      <c r="G31" s="130"/>
      <c r="H31" s="130"/>
      <c r="I31" s="130"/>
      <c r="J31" s="130"/>
      <c r="K31" s="130"/>
      <c r="L31" s="130"/>
      <c r="M31" s="131"/>
    </row>
    <row r="32" ht="12.75">
      <c r="A32" s="24"/>
    </row>
    <row r="33" spans="1:12" s="49" customFormat="1" ht="12.75" customHeight="1">
      <c r="A33" s="45" t="s">
        <v>22</v>
      </c>
      <c r="B33" s="46"/>
      <c r="C33" s="57" t="s">
        <v>94</v>
      </c>
      <c r="D33" s="58"/>
      <c r="E33" s="58"/>
      <c r="F33" s="58"/>
      <c r="G33" s="58"/>
      <c r="H33" s="58"/>
      <c r="I33" s="58"/>
      <c r="J33" s="58"/>
      <c r="K33" s="58"/>
      <c r="L33" s="58"/>
    </row>
    <row r="34" spans="1:12" s="49" customFormat="1" ht="12.75" customHeight="1">
      <c r="A34" s="45"/>
      <c r="B34" s="46"/>
      <c r="C34" s="57" t="s">
        <v>95</v>
      </c>
      <c r="D34" s="58"/>
      <c r="E34" s="58"/>
      <c r="F34" s="58"/>
      <c r="G34" s="58"/>
      <c r="H34" s="58"/>
      <c r="I34" s="58"/>
      <c r="J34" s="58"/>
      <c r="K34" s="58"/>
      <c r="L34" s="58"/>
    </row>
    <row r="35" spans="1:13" ht="6" customHeight="1">
      <c r="A35" s="25"/>
      <c r="B35" s="26"/>
      <c r="C35" s="26"/>
      <c r="D35" s="43"/>
      <c r="E35" s="43"/>
      <c r="F35" s="43"/>
      <c r="G35" s="43"/>
      <c r="H35" s="43"/>
      <c r="I35" s="43"/>
      <c r="J35" s="43"/>
      <c r="K35" s="43"/>
      <c r="L35" s="43"/>
      <c r="M35"/>
    </row>
    <row r="36" spans="1:13" ht="12.75">
      <c r="A36" s="25" t="s">
        <v>97</v>
      </c>
      <c r="B36" s="26"/>
      <c r="C36" s="26" t="s">
        <v>87</v>
      </c>
      <c r="F36" s="26"/>
      <c r="G36" s="26"/>
      <c r="H36" s="26"/>
      <c r="I36" s="26"/>
      <c r="J36" s="26"/>
      <c r="K36" s="26"/>
      <c r="L36" s="26"/>
      <c r="M36" s="26"/>
    </row>
    <row r="37" spans="1:13" ht="6" customHeight="1">
      <c r="A37" s="25"/>
      <c r="B37" s="26"/>
      <c r="C37" s="26"/>
      <c r="D37" s="26"/>
      <c r="F37" s="26"/>
      <c r="G37" s="26"/>
      <c r="H37" s="26"/>
      <c r="I37" s="26"/>
      <c r="J37" s="26"/>
      <c r="K37" s="26"/>
      <c r="L37" s="26"/>
      <c r="M37" s="26"/>
    </row>
    <row r="38" spans="1:13" ht="12.75">
      <c r="A38" s="25" t="s">
        <v>23</v>
      </c>
      <c r="B38" s="26"/>
      <c r="C38" s="57" t="s">
        <v>101</v>
      </c>
      <c r="F38" s="26"/>
      <c r="G38" s="26"/>
      <c r="H38" s="26"/>
      <c r="I38" s="26"/>
      <c r="J38" s="26"/>
      <c r="K38" s="26"/>
      <c r="L38" s="26"/>
      <c r="M38" s="26"/>
    </row>
    <row r="39" spans="1:13" ht="6" customHeight="1">
      <c r="A39" s="25"/>
      <c r="B39" s="26"/>
      <c r="C39" s="26"/>
      <c r="F39" s="26"/>
      <c r="G39" s="26"/>
      <c r="H39" s="26"/>
      <c r="I39" s="26"/>
      <c r="J39" s="26"/>
      <c r="K39" s="26"/>
      <c r="L39" s="26"/>
      <c r="M39" s="26"/>
    </row>
    <row r="40" spans="1:13" ht="12.75">
      <c r="A40" s="25" t="s">
        <v>25</v>
      </c>
      <c r="B40" s="26"/>
      <c r="C40" s="26" t="s">
        <v>64</v>
      </c>
      <c r="F40" s="27"/>
      <c r="G40" s="26"/>
      <c r="H40" s="26"/>
      <c r="I40" s="26"/>
      <c r="J40" s="26"/>
      <c r="K40" s="26"/>
      <c r="L40" s="26"/>
      <c r="M40" s="26"/>
    </row>
    <row r="41" spans="1:13" ht="12.75">
      <c r="A41" s="25"/>
      <c r="B41" s="26"/>
      <c r="C41" s="26" t="s">
        <v>63</v>
      </c>
      <c r="F41" s="27"/>
      <c r="G41" s="26"/>
      <c r="H41" s="26"/>
      <c r="I41" s="26"/>
      <c r="J41" s="26"/>
      <c r="K41" s="26"/>
      <c r="L41" s="26"/>
      <c r="M41" s="26"/>
    </row>
    <row r="42" spans="1:13" ht="6" customHeight="1">
      <c r="A42" s="25"/>
      <c r="B42" s="26"/>
      <c r="C42" s="26"/>
      <c r="F42" s="27"/>
      <c r="G42" s="26"/>
      <c r="H42" s="26"/>
      <c r="I42" s="26"/>
      <c r="J42" s="26"/>
      <c r="K42" s="26"/>
      <c r="L42" s="26"/>
      <c r="M42" s="26"/>
    </row>
    <row r="43" spans="1:13" ht="12.75">
      <c r="A43" s="25" t="s">
        <v>28</v>
      </c>
      <c r="B43" s="26"/>
      <c r="C43" s="26" t="s">
        <v>29</v>
      </c>
      <c r="F43" s="27"/>
      <c r="G43" s="26"/>
      <c r="H43" s="26"/>
      <c r="I43" s="26"/>
      <c r="J43" s="26"/>
      <c r="K43" s="26"/>
      <c r="L43" s="26"/>
      <c r="M43" s="26"/>
    </row>
    <row r="44" spans="1:13" ht="6" customHeight="1">
      <c r="A44" s="25"/>
      <c r="B44" s="26"/>
      <c r="C44" s="26"/>
      <c r="D44" s="26"/>
      <c r="F44" s="27"/>
      <c r="G44" s="26"/>
      <c r="H44" s="26"/>
      <c r="I44" s="26"/>
      <c r="J44" s="26"/>
      <c r="K44" s="26"/>
      <c r="L44" s="26"/>
      <c r="M44" s="26"/>
    </row>
    <row r="45" spans="1:12" s="49" customFormat="1" ht="12.75">
      <c r="A45" s="45" t="s">
        <v>74</v>
      </c>
      <c r="B45" s="46"/>
      <c r="C45" s="46" t="s">
        <v>103</v>
      </c>
      <c r="D45" s="47"/>
      <c r="E45" s="48"/>
      <c r="F45" s="46"/>
      <c r="G45" s="46"/>
      <c r="H45" s="46"/>
      <c r="I45" s="46"/>
      <c r="J45" s="46"/>
      <c r="K45" s="46"/>
      <c r="L45" s="46"/>
    </row>
    <row r="46" spans="1:12" s="49" customFormat="1" ht="12.75">
      <c r="A46" s="45"/>
      <c r="B46" s="46"/>
      <c r="C46" s="46" t="s">
        <v>81</v>
      </c>
      <c r="D46" s="47"/>
      <c r="E46" s="48"/>
      <c r="F46" s="46"/>
      <c r="G46" s="46"/>
      <c r="H46" s="46"/>
      <c r="I46" s="46"/>
      <c r="J46" s="46"/>
      <c r="K46" s="46"/>
      <c r="L46" s="46"/>
    </row>
    <row r="47" spans="1:12" s="49" customFormat="1" ht="12.75">
      <c r="A47" s="45"/>
      <c r="B47" s="46"/>
      <c r="C47" s="46" t="s">
        <v>82</v>
      </c>
      <c r="D47" s="47"/>
      <c r="E47" s="48"/>
      <c r="F47" s="46"/>
      <c r="G47" s="46"/>
      <c r="H47" s="46"/>
      <c r="I47" s="46"/>
      <c r="J47" s="46"/>
      <c r="K47" s="46"/>
      <c r="L47" s="46"/>
    </row>
    <row r="48" spans="1:13" ht="6" customHeight="1">
      <c r="A48" s="25"/>
      <c r="B48" s="26"/>
      <c r="C48" s="26"/>
      <c r="D48" s="26"/>
      <c r="F48" s="27"/>
      <c r="G48" s="26"/>
      <c r="H48" s="26"/>
      <c r="I48" s="26"/>
      <c r="J48" s="26"/>
      <c r="K48" s="26"/>
      <c r="L48" s="26"/>
      <c r="M48" s="26"/>
    </row>
    <row r="49" spans="1:12" s="49" customFormat="1" ht="12.75">
      <c r="A49" s="45" t="s">
        <v>30</v>
      </c>
      <c r="B49" s="46"/>
      <c r="C49" s="46" t="s">
        <v>104</v>
      </c>
      <c r="D49" s="47"/>
      <c r="E49" s="48"/>
      <c r="F49" s="46"/>
      <c r="G49" s="46"/>
      <c r="H49" s="46"/>
      <c r="I49" s="46"/>
      <c r="J49" s="46"/>
      <c r="K49" s="46"/>
      <c r="L49" s="46"/>
    </row>
    <row r="50" spans="1:12" s="49" customFormat="1" ht="12.75">
      <c r="A50" s="45"/>
      <c r="B50" s="46"/>
      <c r="C50" s="46" t="s">
        <v>105</v>
      </c>
      <c r="D50" s="47"/>
      <c r="E50" s="48"/>
      <c r="F50" s="46"/>
      <c r="G50" s="46"/>
      <c r="H50" s="46"/>
      <c r="I50" s="46"/>
      <c r="J50" s="46"/>
      <c r="K50" s="46"/>
      <c r="L50" s="46"/>
    </row>
    <row r="51" spans="1:13" ht="6" customHeight="1">
      <c r="A51" s="25"/>
      <c r="B51" s="26"/>
      <c r="C51" s="26"/>
      <c r="D51" s="26"/>
      <c r="F51" s="27"/>
      <c r="G51" s="26"/>
      <c r="H51" s="26"/>
      <c r="I51" s="26"/>
      <c r="J51" s="26"/>
      <c r="K51" s="26"/>
      <c r="L51" s="26"/>
      <c r="M51" s="26"/>
    </row>
    <row r="52" spans="1:12" s="49" customFormat="1" ht="12.75">
      <c r="A52" s="45" t="s">
        <v>86</v>
      </c>
      <c r="B52" s="46"/>
      <c r="C52" s="46" t="s">
        <v>79</v>
      </c>
      <c r="D52" s="47"/>
      <c r="E52" s="48"/>
      <c r="F52" s="46"/>
      <c r="G52" s="46"/>
      <c r="H52" s="46"/>
      <c r="I52" s="46"/>
      <c r="J52" s="46"/>
      <c r="K52" s="46"/>
      <c r="L52" s="46"/>
    </row>
    <row r="53" spans="1:12" s="49" customFormat="1" ht="12.75">
      <c r="A53" s="50"/>
      <c r="B53" s="46"/>
      <c r="C53" s="46" t="s">
        <v>80</v>
      </c>
      <c r="D53" s="47"/>
      <c r="E53" s="48"/>
      <c r="F53" s="46"/>
      <c r="G53" s="46"/>
      <c r="H53" s="46"/>
      <c r="I53" s="46"/>
      <c r="J53" s="46"/>
      <c r="K53" s="46"/>
      <c r="L53" s="46"/>
    </row>
    <row r="54" spans="1:13" ht="6" customHeight="1">
      <c r="A54" s="29"/>
      <c r="B54" s="30"/>
      <c r="C54" s="30"/>
      <c r="D54" s="30"/>
      <c r="E54" s="30"/>
      <c r="F54" s="31"/>
      <c r="G54" s="30"/>
      <c r="H54" s="30"/>
      <c r="I54" s="30"/>
      <c r="J54" s="30"/>
      <c r="K54" s="30"/>
      <c r="L54" s="30"/>
      <c r="M54" s="30"/>
    </row>
    <row r="55" spans="1:12" ht="12.75">
      <c r="A55" s="25" t="s">
        <v>51</v>
      </c>
      <c r="B55" s="26"/>
      <c r="C55" s="26" t="s">
        <v>65</v>
      </c>
      <c r="F55" s="27"/>
      <c r="G55" s="26"/>
      <c r="H55" s="26"/>
      <c r="I55" s="26"/>
      <c r="J55" s="26"/>
      <c r="K55" s="26"/>
      <c r="L55" s="26"/>
    </row>
    <row r="56" spans="1:12" ht="12.75">
      <c r="A56" s="28"/>
      <c r="B56" s="26"/>
      <c r="C56" s="26" t="s">
        <v>67</v>
      </c>
      <c r="F56" s="27"/>
      <c r="G56" s="26"/>
      <c r="H56" s="26"/>
      <c r="I56" s="26"/>
      <c r="J56" s="26"/>
      <c r="K56" s="26"/>
      <c r="L56" s="26"/>
    </row>
    <row r="57" spans="1:12" ht="12.75">
      <c r="A57" s="28"/>
      <c r="B57" s="26"/>
      <c r="C57" s="26" t="s">
        <v>66</v>
      </c>
      <c r="F57" s="27"/>
      <c r="G57" s="26"/>
      <c r="H57" s="26"/>
      <c r="I57" s="26"/>
      <c r="J57" s="26"/>
      <c r="K57" s="26"/>
      <c r="L57" s="26"/>
    </row>
    <row r="58" spans="1:13" ht="12.75">
      <c r="A58" s="29"/>
      <c r="B58" s="30"/>
      <c r="C58" s="30"/>
      <c r="D58" s="30"/>
      <c r="E58" s="30"/>
      <c r="F58" s="31"/>
      <c r="G58" s="30"/>
      <c r="H58" s="30"/>
      <c r="I58" s="30"/>
      <c r="J58" s="30"/>
      <c r="K58" s="30"/>
      <c r="L58" s="30"/>
      <c r="M58" s="30"/>
    </row>
    <row r="59" spans="1:13" s="23" customFormat="1" ht="12.75">
      <c r="A59" s="129" t="s">
        <v>31</v>
      </c>
      <c r="B59" s="130"/>
      <c r="C59" s="130"/>
      <c r="D59" s="130"/>
      <c r="E59" s="130"/>
      <c r="F59" s="130"/>
      <c r="G59" s="130"/>
      <c r="H59" s="130"/>
      <c r="I59" s="130"/>
      <c r="J59" s="130"/>
      <c r="K59" s="130"/>
      <c r="L59" s="130"/>
      <c r="M59" s="131"/>
    </row>
    <row r="60" ht="12.75">
      <c r="A60" s="24"/>
    </row>
    <row r="61" spans="1:12" ht="13.5">
      <c r="A61" s="32"/>
      <c r="E61" s="10" t="s">
        <v>9</v>
      </c>
      <c r="F61" s="128" t="s">
        <v>88</v>
      </c>
      <c r="G61" s="128"/>
      <c r="H61" s="128"/>
      <c r="I61" s="128"/>
      <c r="J61" s="10" t="s">
        <v>10</v>
      </c>
      <c r="K61" s="10" t="s">
        <v>84</v>
      </c>
      <c r="L61" s="10" t="s">
        <v>49</v>
      </c>
    </row>
    <row r="62" spans="1:12" ht="12.75">
      <c r="A62" s="35"/>
      <c r="E62" s="8" t="s">
        <v>17</v>
      </c>
      <c r="F62" s="8" t="s">
        <v>89</v>
      </c>
      <c r="G62" s="53" t="s">
        <v>90</v>
      </c>
      <c r="H62" s="36"/>
      <c r="I62" s="8" t="s">
        <v>91</v>
      </c>
      <c r="J62" s="8" t="s">
        <v>19</v>
      </c>
      <c r="K62" s="8" t="s">
        <v>85</v>
      </c>
      <c r="L62" s="8" t="s">
        <v>50</v>
      </c>
    </row>
    <row r="63" spans="2:12" ht="12.75">
      <c r="B63" s="39" t="s">
        <v>35</v>
      </c>
      <c r="C63" s="39"/>
      <c r="D63" s="39"/>
      <c r="E63" s="54">
        <v>0.41</v>
      </c>
      <c r="F63" s="54">
        <v>0.25</v>
      </c>
      <c r="G63" s="55">
        <v>0.0875</v>
      </c>
      <c r="H63" s="56"/>
      <c r="I63" s="54">
        <v>0.0125</v>
      </c>
      <c r="J63" s="54">
        <v>0.1</v>
      </c>
      <c r="K63" s="54">
        <v>0.1</v>
      </c>
      <c r="L63" s="54">
        <v>0.04</v>
      </c>
    </row>
    <row r="64" spans="2:12" ht="12.75">
      <c r="B64" s="39" t="s">
        <v>58</v>
      </c>
      <c r="C64" s="39"/>
      <c r="D64" s="39"/>
      <c r="E64" s="54">
        <v>0.48</v>
      </c>
      <c r="F64" s="54">
        <v>0.18</v>
      </c>
      <c r="G64" s="55">
        <v>0.0875</v>
      </c>
      <c r="H64" s="56"/>
      <c r="I64" s="54">
        <v>0.0125</v>
      </c>
      <c r="J64" s="54">
        <v>0.1</v>
      </c>
      <c r="K64" s="54">
        <v>0.1</v>
      </c>
      <c r="L64" s="54">
        <v>0.04</v>
      </c>
    </row>
    <row r="65" spans="2:12" ht="12.75">
      <c r="B65" s="39" t="s">
        <v>107</v>
      </c>
      <c r="C65" s="39"/>
      <c r="D65" s="39"/>
      <c r="E65" s="54">
        <v>0.52</v>
      </c>
      <c r="F65" s="54">
        <v>0.18</v>
      </c>
      <c r="G65" s="55">
        <v>0.0875</v>
      </c>
      <c r="H65" s="56"/>
      <c r="I65" s="54">
        <v>0.0125</v>
      </c>
      <c r="J65" s="54">
        <v>0.1</v>
      </c>
      <c r="K65" s="54">
        <v>0.1</v>
      </c>
      <c r="L65" s="54">
        <v>0</v>
      </c>
    </row>
    <row r="66" spans="2:12" ht="12.75">
      <c r="B66" s="39" t="s">
        <v>38</v>
      </c>
      <c r="C66" s="39"/>
      <c r="D66" s="39"/>
      <c r="E66" s="54">
        <v>0.55</v>
      </c>
      <c r="F66" s="54">
        <v>0.15</v>
      </c>
      <c r="G66" s="55">
        <v>0.0875</v>
      </c>
      <c r="H66" s="56"/>
      <c r="I66" s="54">
        <v>0.0125</v>
      </c>
      <c r="J66" s="54">
        <v>0.1</v>
      </c>
      <c r="K66" s="54">
        <v>0.1</v>
      </c>
      <c r="L66" s="54">
        <v>0</v>
      </c>
    </row>
    <row r="67" spans="2:12" ht="12.75">
      <c r="B67" s="39"/>
      <c r="C67" s="39"/>
      <c r="D67" s="39"/>
      <c r="E67" s="26"/>
      <c r="F67" s="27"/>
      <c r="G67" s="40"/>
      <c r="H67" s="26"/>
      <c r="I67" s="40"/>
      <c r="J67" s="40"/>
      <c r="K67" s="40"/>
      <c r="L67" s="40"/>
    </row>
    <row r="68" spans="1:13" s="23" customFormat="1" ht="12.75">
      <c r="A68" s="132" t="s">
        <v>43</v>
      </c>
      <c r="B68" s="133"/>
      <c r="C68" s="133"/>
      <c r="D68" s="133"/>
      <c r="E68" s="133"/>
      <c r="F68" s="133"/>
      <c r="G68" s="133"/>
      <c r="H68" s="133"/>
      <c r="I68" s="133"/>
      <c r="J68" s="133"/>
      <c r="K68" s="133"/>
      <c r="L68" s="133"/>
      <c r="M68" s="134"/>
    </row>
    <row r="69" spans="1:6" ht="9" customHeight="1">
      <c r="A69" s="24"/>
      <c r="E69"/>
      <c r="F69" s="16"/>
    </row>
    <row r="70" spans="1:13" ht="52.5" customHeight="1">
      <c r="A70" s="121" t="s">
        <v>112</v>
      </c>
      <c r="B70" s="135"/>
      <c r="C70" s="135"/>
      <c r="D70" s="135"/>
      <c r="E70" s="135"/>
      <c r="F70" s="135"/>
      <c r="G70" s="135"/>
      <c r="H70" s="135"/>
      <c r="I70" s="135"/>
      <c r="J70" s="135"/>
      <c r="K70" s="135"/>
      <c r="L70" s="135"/>
      <c r="M70" s="135"/>
    </row>
    <row r="71" spans="1:6" ht="12.75">
      <c r="A71" s="16"/>
      <c r="E71"/>
      <c r="F71" s="16"/>
    </row>
    <row r="72" spans="2:5" ht="12.75">
      <c r="B72" s="24" t="s">
        <v>44</v>
      </c>
      <c r="C72" s="24"/>
      <c r="D72" s="24"/>
      <c r="E72" s="16">
        <v>440789</v>
      </c>
    </row>
    <row r="73" spans="2:5" ht="12.75">
      <c r="B73" s="24" t="s">
        <v>45</v>
      </c>
      <c r="C73" s="24"/>
      <c r="D73" s="24"/>
      <c r="E73" s="16">
        <v>160388</v>
      </c>
    </row>
    <row r="74" spans="2:5" ht="12.75">
      <c r="B74" s="16" t="s">
        <v>46</v>
      </c>
      <c r="E74" s="16">
        <v>200392</v>
      </c>
    </row>
    <row r="75" ht="12.75">
      <c r="E75" s="16" t="s">
        <v>39</v>
      </c>
    </row>
    <row r="76" ht="12.75">
      <c r="A76" s="28" t="s">
        <v>98</v>
      </c>
    </row>
  </sheetData>
  <sheetProtection/>
  <mergeCells count="12">
    <mergeCell ref="I10:M10"/>
    <mergeCell ref="A31:M31"/>
    <mergeCell ref="A59:M59"/>
    <mergeCell ref="F61:I61"/>
    <mergeCell ref="A68:M68"/>
    <mergeCell ref="A70:M70"/>
    <mergeCell ref="A1:M1"/>
    <mergeCell ref="A2:M2"/>
    <mergeCell ref="A3:M3"/>
    <mergeCell ref="A4:M4"/>
    <mergeCell ref="A5:M5"/>
    <mergeCell ref="A8:M8"/>
  </mergeCells>
  <hyperlinks>
    <hyperlink ref="A4" r:id="rId1" display="www.batavia-downs.com"/>
  </hyperlinks>
  <printOptions/>
  <pageMargins left="0.25" right="0.25" top="0.75" bottom="0.5" header="0.5" footer="0.5"/>
  <pageSetup fitToHeight="1" fitToWidth="1" horizontalDpi="600" verticalDpi="600" orientation="portrait" scale="68" r:id="rId3"/>
  <drawing r:id="rId2"/>
</worksheet>
</file>

<file path=xl/worksheets/sheet9.xml><?xml version="1.0" encoding="utf-8"?>
<worksheet xmlns="http://schemas.openxmlformats.org/spreadsheetml/2006/main" xmlns:r="http://schemas.openxmlformats.org/officeDocument/2006/relationships">
  <sheetPr>
    <pageSetUpPr fitToPage="1"/>
  </sheetPr>
  <dimension ref="A1:M76"/>
  <sheetViews>
    <sheetView zoomScalePageLayoutView="0" workbookViewId="0" topLeftCell="A10">
      <selection activeCell="G27" sqref="G27"/>
    </sheetView>
  </sheetViews>
  <sheetFormatPr defaultColWidth="9.140625" defaultRowHeight="12.75"/>
  <cols>
    <col min="1" max="1" width="9.28125" style="3" customWidth="1"/>
    <col min="2" max="3" width="13.140625" style="16" customWidth="1"/>
    <col min="4" max="4" width="13.7109375" style="16" customWidth="1"/>
    <col min="5" max="5" width="12.7109375" style="16" customWidth="1"/>
    <col min="6" max="6" width="8.8515625" style="17" customWidth="1"/>
    <col min="7" max="7" width="10.28125" style="16" customWidth="1"/>
    <col min="8" max="8" width="1.421875" style="16" customWidth="1"/>
    <col min="9" max="9" width="12.421875" style="16" customWidth="1"/>
    <col min="10" max="10" width="12.8515625" style="16" customWidth="1"/>
    <col min="11" max="12" width="13.7109375" style="16" customWidth="1"/>
    <col min="13" max="13" width="13.28125" style="16" customWidth="1"/>
    <col min="14" max="14" width="12.7109375" style="0" customWidth="1"/>
  </cols>
  <sheetData>
    <row r="1" spans="1:13" ht="18">
      <c r="A1" s="136" t="s">
        <v>100</v>
      </c>
      <c r="B1" s="136"/>
      <c r="C1" s="136"/>
      <c r="D1" s="136"/>
      <c r="E1" s="136"/>
      <c r="F1" s="136"/>
      <c r="G1" s="136"/>
      <c r="H1" s="136"/>
      <c r="I1" s="136"/>
      <c r="J1" s="136"/>
      <c r="K1" s="136"/>
      <c r="L1" s="136"/>
      <c r="M1" s="136"/>
    </row>
    <row r="2" spans="1:13" ht="15">
      <c r="A2" s="137" t="s">
        <v>0</v>
      </c>
      <c r="B2" s="137"/>
      <c r="C2" s="137"/>
      <c r="D2" s="137"/>
      <c r="E2" s="137"/>
      <c r="F2" s="137"/>
      <c r="G2" s="137"/>
      <c r="H2" s="137"/>
      <c r="I2" s="137"/>
      <c r="J2" s="137"/>
      <c r="K2" s="137"/>
      <c r="L2" s="137"/>
      <c r="M2" s="137"/>
    </row>
    <row r="3" spans="1:13" s="1" customFormat="1" ht="15">
      <c r="A3" s="137" t="s">
        <v>1</v>
      </c>
      <c r="B3" s="137"/>
      <c r="C3" s="137"/>
      <c r="D3" s="137"/>
      <c r="E3" s="137"/>
      <c r="F3" s="137"/>
      <c r="G3" s="137"/>
      <c r="H3" s="137"/>
      <c r="I3" s="137"/>
      <c r="J3" s="137"/>
      <c r="K3" s="137"/>
      <c r="L3" s="137"/>
      <c r="M3" s="137"/>
    </row>
    <row r="4" spans="1:13" s="1" customFormat="1" ht="14.25">
      <c r="A4" s="124" t="s">
        <v>2</v>
      </c>
      <c r="B4" s="124"/>
      <c r="C4" s="124"/>
      <c r="D4" s="124"/>
      <c r="E4" s="124"/>
      <c r="F4" s="124"/>
      <c r="G4" s="124"/>
      <c r="H4" s="124"/>
      <c r="I4" s="124"/>
      <c r="J4" s="124"/>
      <c r="K4" s="124"/>
      <c r="L4" s="124"/>
      <c r="M4" s="124"/>
    </row>
    <row r="5" spans="1:13" s="1" customFormat="1" ht="14.25">
      <c r="A5" s="138" t="s">
        <v>3</v>
      </c>
      <c r="B5" s="138"/>
      <c r="C5" s="138"/>
      <c r="D5" s="138"/>
      <c r="E5" s="138"/>
      <c r="F5" s="138"/>
      <c r="G5" s="138"/>
      <c r="H5" s="138"/>
      <c r="I5" s="138"/>
      <c r="J5" s="138"/>
      <c r="K5" s="138"/>
      <c r="L5" s="138"/>
      <c r="M5" s="138"/>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129" t="s">
        <v>106</v>
      </c>
      <c r="B8" s="130"/>
      <c r="C8" s="130"/>
      <c r="D8" s="130"/>
      <c r="E8" s="130"/>
      <c r="F8" s="130"/>
      <c r="G8" s="130"/>
      <c r="H8" s="130"/>
      <c r="I8" s="130"/>
      <c r="J8" s="130"/>
      <c r="K8" s="130"/>
      <c r="L8" s="130"/>
      <c r="M8" s="131"/>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128" t="s">
        <v>5</v>
      </c>
      <c r="J10" s="128"/>
      <c r="K10" s="128"/>
      <c r="L10" s="128"/>
      <c r="M10" s="128"/>
    </row>
    <row r="11" spans="1:13" s="1" customFormat="1" ht="12.75">
      <c r="A11" s="3"/>
      <c r="B11" s="5"/>
      <c r="C11" s="5"/>
      <c r="D11" s="5"/>
      <c r="E11" s="5"/>
      <c r="F11" s="6"/>
      <c r="G11" s="5"/>
      <c r="H11" s="5"/>
      <c r="I11" s="5"/>
      <c r="J11" s="5"/>
      <c r="K11" s="5"/>
      <c r="L11" s="5"/>
      <c r="M11" s="5"/>
    </row>
    <row r="12" spans="1:13" s="12" customFormat="1" ht="12">
      <c r="A12" s="9"/>
      <c r="B12" s="10" t="s">
        <v>6</v>
      </c>
      <c r="C12" s="10" t="s">
        <v>72</v>
      </c>
      <c r="D12" s="10" t="s">
        <v>6</v>
      </c>
      <c r="E12" s="10"/>
      <c r="F12" s="11" t="s">
        <v>7</v>
      </c>
      <c r="G12" s="10" t="s">
        <v>8</v>
      </c>
      <c r="H12" s="10"/>
      <c r="I12" s="10" t="s">
        <v>9</v>
      </c>
      <c r="J12" s="10" t="s">
        <v>83</v>
      </c>
      <c r="K12" s="10" t="s">
        <v>10</v>
      </c>
      <c r="L12" s="10" t="s">
        <v>84</v>
      </c>
      <c r="M12" s="10" t="s">
        <v>49</v>
      </c>
    </row>
    <row r="13" spans="1:13" s="12" customFormat="1" ht="12">
      <c r="A13" s="13" t="s">
        <v>11</v>
      </c>
      <c r="B13" s="8" t="s">
        <v>12</v>
      </c>
      <c r="C13" s="8" t="s">
        <v>19</v>
      </c>
      <c r="D13" s="8" t="s">
        <v>13</v>
      </c>
      <c r="E13" s="8" t="s">
        <v>14</v>
      </c>
      <c r="F13" s="14" t="s">
        <v>15</v>
      </c>
      <c r="G13" s="8" t="s">
        <v>16</v>
      </c>
      <c r="H13" s="15"/>
      <c r="I13" s="8" t="s">
        <v>17</v>
      </c>
      <c r="J13" s="8" t="s">
        <v>18</v>
      </c>
      <c r="K13" s="8" t="s">
        <v>19</v>
      </c>
      <c r="L13" s="8" t="s">
        <v>85</v>
      </c>
      <c r="M13" s="8" t="s">
        <v>50</v>
      </c>
    </row>
    <row r="15" spans="1:13" ht="12.75">
      <c r="A15" s="3">
        <v>42095</v>
      </c>
      <c r="B15" s="16">
        <v>54112194.2</v>
      </c>
      <c r="C15" s="16">
        <v>440930.18</v>
      </c>
      <c r="D15" s="16">
        <f aca="true" t="shared" si="0" ref="D15:D26">+B15-C15-E15</f>
        <v>49286725.61</v>
      </c>
      <c r="E15" s="16">
        <v>4384538.41</v>
      </c>
      <c r="F15" s="17">
        <v>788</v>
      </c>
      <c r="G15" s="16">
        <f>E15/F15/30</f>
        <v>185.47116793570223</v>
      </c>
      <c r="I15" s="16">
        <v>1797660.75</v>
      </c>
      <c r="J15" s="16">
        <v>1534588.47</v>
      </c>
      <c r="K15" s="16">
        <v>438453.84</v>
      </c>
      <c r="L15" s="16">
        <v>438453.84</v>
      </c>
      <c r="M15" s="16">
        <v>175381.55</v>
      </c>
    </row>
    <row r="16" spans="1:13" ht="12.75">
      <c r="A16" s="3">
        <v>42125</v>
      </c>
      <c r="B16" s="16">
        <v>61938869.52</v>
      </c>
      <c r="C16" s="16">
        <v>657531.42</v>
      </c>
      <c r="D16" s="16">
        <f t="shared" si="0"/>
        <v>56535697.730000004</v>
      </c>
      <c r="E16" s="16">
        <v>4745640.37</v>
      </c>
      <c r="F16" s="17">
        <v>788</v>
      </c>
      <c r="G16" s="16">
        <f>E16/F16/31</f>
        <v>194.27052439823154</v>
      </c>
      <c r="I16" s="16">
        <v>1945712.52</v>
      </c>
      <c r="J16" s="16">
        <v>1660974.15</v>
      </c>
      <c r="K16" s="16">
        <v>474564.06</v>
      </c>
      <c r="L16" s="16">
        <v>474564.06</v>
      </c>
      <c r="M16" s="16">
        <v>189825.63</v>
      </c>
    </row>
    <row r="17" spans="1:13" ht="12.75">
      <c r="A17" s="3">
        <v>42156</v>
      </c>
      <c r="B17" s="16">
        <v>57254113.02</v>
      </c>
      <c r="C17" s="16">
        <v>549013.6</v>
      </c>
      <c r="D17" s="16">
        <f t="shared" si="0"/>
        <v>52364117.36</v>
      </c>
      <c r="E17" s="16">
        <v>4340982.06</v>
      </c>
      <c r="F17" s="17">
        <v>788</v>
      </c>
      <c r="G17" s="16">
        <f>E17/F17/30</f>
        <v>183.62868274111673</v>
      </c>
      <c r="I17" s="16">
        <v>1779802.69</v>
      </c>
      <c r="J17" s="16">
        <v>1519343.72</v>
      </c>
      <c r="K17" s="16">
        <v>434098.23</v>
      </c>
      <c r="L17" s="16">
        <v>434098.23</v>
      </c>
      <c r="M17" s="16">
        <v>173639.24</v>
      </c>
    </row>
    <row r="18" spans="1:13" ht="12.75">
      <c r="A18" s="3">
        <v>42186</v>
      </c>
      <c r="B18" s="16">
        <v>62811054.38</v>
      </c>
      <c r="C18" s="16">
        <v>656332.54</v>
      </c>
      <c r="D18" s="16">
        <f t="shared" si="0"/>
        <v>57323057.720000006</v>
      </c>
      <c r="E18" s="16">
        <v>4831664.12</v>
      </c>
      <c r="F18" s="17">
        <v>788</v>
      </c>
      <c r="G18" s="16">
        <f>E18/F18/31</f>
        <v>197.79204683150485</v>
      </c>
      <c r="I18" s="16">
        <v>1980982.26</v>
      </c>
      <c r="J18" s="16">
        <v>1691082.45</v>
      </c>
      <c r="K18" s="16">
        <v>483166.42</v>
      </c>
      <c r="L18" s="16">
        <v>483166.42</v>
      </c>
      <c r="M18" s="16">
        <v>193266.56</v>
      </c>
    </row>
    <row r="19" spans="1:13" ht="12.75">
      <c r="A19" s="3">
        <v>42217</v>
      </c>
      <c r="B19" s="16">
        <v>61313146.36</v>
      </c>
      <c r="C19" s="16">
        <v>586270.54</v>
      </c>
      <c r="D19" s="16">
        <f t="shared" si="0"/>
        <v>55942926.02</v>
      </c>
      <c r="E19" s="16">
        <v>4783949.8</v>
      </c>
      <c r="F19" s="17">
        <v>788</v>
      </c>
      <c r="G19" s="16">
        <f>E19/F19/31</f>
        <v>195.8387833633535</v>
      </c>
      <c r="I19" s="16">
        <v>1961419.41</v>
      </c>
      <c r="J19" s="16">
        <v>1674382.42</v>
      </c>
      <c r="K19" s="16">
        <v>478394.97</v>
      </c>
      <c r="L19" s="16">
        <v>478394.97</v>
      </c>
      <c r="M19" s="16">
        <v>191357.98</v>
      </c>
    </row>
    <row r="20" spans="1:13" ht="12.75">
      <c r="A20" s="3">
        <v>42248</v>
      </c>
      <c r="B20" s="16">
        <v>58211184.36</v>
      </c>
      <c r="C20" s="16">
        <v>645737.23</v>
      </c>
      <c r="D20" s="16">
        <f t="shared" si="0"/>
        <v>53112027.830000006</v>
      </c>
      <c r="E20" s="16">
        <v>4453419.3</v>
      </c>
      <c r="F20" s="17">
        <v>788</v>
      </c>
      <c r="G20" s="16">
        <f>E20/F20/30</f>
        <v>188.38491116751268</v>
      </c>
      <c r="I20" s="16">
        <v>1825901.92</v>
      </c>
      <c r="J20" s="16">
        <v>1558696.74</v>
      </c>
      <c r="K20" s="16">
        <v>445341.98</v>
      </c>
      <c r="L20" s="16">
        <v>445341.98</v>
      </c>
      <c r="M20" s="16">
        <v>178136.76</v>
      </c>
    </row>
    <row r="21" spans="1:13" ht="12.75">
      <c r="A21" s="3">
        <v>42278</v>
      </c>
      <c r="B21" s="16">
        <v>60243867.13</v>
      </c>
      <c r="C21" s="16">
        <v>670218.35</v>
      </c>
      <c r="D21" s="16">
        <f t="shared" si="0"/>
        <v>54938090.760000005</v>
      </c>
      <c r="E21" s="16">
        <v>4635558.02</v>
      </c>
      <c r="F21" s="17">
        <v>788</v>
      </c>
      <c r="G21" s="16">
        <f>E21/F21/31</f>
        <v>189.76412395611592</v>
      </c>
      <c r="I21" s="16">
        <v>1900578.79</v>
      </c>
      <c r="J21" s="16">
        <v>1622445.3</v>
      </c>
      <c r="K21" s="16">
        <v>463555.81</v>
      </c>
      <c r="L21" s="16">
        <v>463555.81</v>
      </c>
      <c r="M21" s="16">
        <v>185422.32</v>
      </c>
    </row>
    <row r="22" spans="1:13" ht="12.75">
      <c r="A22" s="3">
        <v>42309</v>
      </c>
      <c r="B22" s="16">
        <v>58474184.14</v>
      </c>
      <c r="C22" s="16">
        <v>702578.59</v>
      </c>
      <c r="D22" s="16">
        <f t="shared" si="0"/>
        <v>53352388.449999996</v>
      </c>
      <c r="E22" s="16">
        <v>4419217.1</v>
      </c>
      <c r="F22" s="17">
        <v>788</v>
      </c>
      <c r="G22" s="16">
        <f>E22/F22/30</f>
        <v>186.9381175972927</v>
      </c>
      <c r="I22" s="16">
        <v>1811879.02</v>
      </c>
      <c r="J22" s="16">
        <v>1546725.97</v>
      </c>
      <c r="K22" s="16">
        <v>441921.74</v>
      </c>
      <c r="L22" s="16">
        <v>441921.74</v>
      </c>
      <c r="M22" s="16">
        <v>176768.66</v>
      </c>
    </row>
    <row r="23" spans="1:13" ht="12.75">
      <c r="A23" s="3">
        <v>42339</v>
      </c>
      <c r="B23" s="16">
        <v>57287458.29</v>
      </c>
      <c r="C23" s="16">
        <v>685717.44</v>
      </c>
      <c r="D23" s="16">
        <f t="shared" si="0"/>
        <v>52279193.74</v>
      </c>
      <c r="E23" s="16">
        <v>4322547.11</v>
      </c>
      <c r="F23" s="17">
        <v>788</v>
      </c>
      <c r="G23" s="16">
        <f>E23/F23/31</f>
        <v>176.9505121172425</v>
      </c>
      <c r="I23" s="16">
        <v>1772244.34</v>
      </c>
      <c r="J23" s="16">
        <v>1512891.47</v>
      </c>
      <c r="K23" s="16">
        <v>432254.73</v>
      </c>
      <c r="L23" s="16">
        <v>432254.73</v>
      </c>
      <c r="M23" s="16">
        <v>172901.88</v>
      </c>
    </row>
    <row r="24" spans="1:13" ht="12.75">
      <c r="A24" s="3">
        <v>42370</v>
      </c>
      <c r="B24" s="16">
        <v>53607453.59</v>
      </c>
      <c r="C24" s="16">
        <v>556250.92</v>
      </c>
      <c r="D24" s="16">
        <f t="shared" si="0"/>
        <v>48978086.940000005</v>
      </c>
      <c r="E24" s="16">
        <v>4073115.73</v>
      </c>
      <c r="F24" s="17">
        <v>789</v>
      </c>
      <c r="G24" s="16">
        <f>E24/F24/31</f>
        <v>166.52830164765524</v>
      </c>
      <c r="I24" s="16">
        <v>1669977.45</v>
      </c>
      <c r="J24" s="16">
        <v>1425590.52</v>
      </c>
      <c r="K24" s="16">
        <v>407311.58</v>
      </c>
      <c r="L24" s="16">
        <v>407311.58</v>
      </c>
      <c r="M24" s="16">
        <v>162924.64</v>
      </c>
    </row>
    <row r="25" spans="1:13" ht="12.75">
      <c r="A25" s="3">
        <v>42401</v>
      </c>
      <c r="B25" s="16">
        <v>57593146.77</v>
      </c>
      <c r="C25" s="16">
        <v>574993.19</v>
      </c>
      <c r="D25" s="16">
        <f t="shared" si="0"/>
        <v>52630679.56</v>
      </c>
      <c r="E25" s="16">
        <v>4387474.02</v>
      </c>
      <c r="F25" s="17">
        <v>791</v>
      </c>
      <c r="G25" s="16">
        <f>E25/F25/29</f>
        <v>191.26701338332097</v>
      </c>
      <c r="I25" s="16">
        <v>1798864.36</v>
      </c>
      <c r="J25" s="16">
        <v>1535615.92</v>
      </c>
      <c r="K25" s="16">
        <v>438747.43</v>
      </c>
      <c r="L25" s="16">
        <v>438747.43</v>
      </c>
      <c r="M25" s="16">
        <v>175498.96</v>
      </c>
    </row>
    <row r="26" spans="1:13" ht="12.75">
      <c r="A26" s="3">
        <v>42430</v>
      </c>
      <c r="B26" s="16">
        <v>63142692.15</v>
      </c>
      <c r="C26" s="16">
        <v>525962.55</v>
      </c>
      <c r="D26" s="16">
        <f t="shared" si="0"/>
        <v>57737512.97</v>
      </c>
      <c r="E26" s="16">
        <v>4879216.63</v>
      </c>
      <c r="F26" s="17">
        <v>793</v>
      </c>
      <c r="G26" s="16">
        <f>E26/F26/31</f>
        <v>198.47929992271082</v>
      </c>
      <c r="I26" s="16">
        <v>2298491.37</v>
      </c>
      <c r="J26" s="16">
        <v>1409713.24</v>
      </c>
      <c r="K26" s="16">
        <v>487921.71</v>
      </c>
      <c r="L26" s="16">
        <v>487921.71</v>
      </c>
      <c r="M26" s="16">
        <v>195168.65</v>
      </c>
    </row>
    <row r="27" spans="1:13" ht="13.5" thickBot="1">
      <c r="A27" s="3" t="s">
        <v>20</v>
      </c>
      <c r="B27" s="18">
        <f>SUM(B15:B26)</f>
        <v>705989363.91</v>
      </c>
      <c r="C27" s="18">
        <f>SUM(C15:C26)</f>
        <v>7251536.55</v>
      </c>
      <c r="D27" s="18">
        <f>SUM(D15:D26)</f>
        <v>644480504.69</v>
      </c>
      <c r="E27" s="18">
        <f>SUM(E15:E26)</f>
        <v>54257322.669999994</v>
      </c>
      <c r="I27" s="18">
        <f>SUM(I15:I26)</f>
        <v>22543514.88</v>
      </c>
      <c r="J27" s="18">
        <f>SUM(J15:J26)</f>
        <v>18692050.37</v>
      </c>
      <c r="K27" s="18">
        <f>SUM(K15:K26)</f>
        <v>5425732.499999999</v>
      </c>
      <c r="L27" s="18">
        <f>SUM(L15:L26)</f>
        <v>5425732.499999999</v>
      </c>
      <c r="M27" s="18">
        <f>SUM(M15:M26)</f>
        <v>2170292.83</v>
      </c>
    </row>
    <row r="28" spans="2:13" ht="10.5" customHeight="1" thickTop="1">
      <c r="B28" s="19"/>
      <c r="C28" s="19"/>
      <c r="D28" s="19"/>
      <c r="E28" s="19"/>
      <c r="I28" s="19"/>
      <c r="J28" s="19"/>
      <c r="K28" s="19"/>
      <c r="L28" s="19"/>
      <c r="M28" s="19"/>
    </row>
    <row r="29" spans="1:13" s="22" customFormat="1" ht="12.75">
      <c r="A29" s="20"/>
      <c r="B29" s="21"/>
      <c r="C29" s="21">
        <f>C27/B27</f>
        <v>0.010271452971810537</v>
      </c>
      <c r="D29" s="21">
        <f>D27/B27</f>
        <v>0.9128756573904404</v>
      </c>
      <c r="E29" s="21">
        <f>E27/B27</f>
        <v>0.07685288963774921</v>
      </c>
      <c r="I29" s="21">
        <f>I27/$E$27</f>
        <v>0.4154925781559948</v>
      </c>
      <c r="J29" s="21">
        <f>J27/$E$27</f>
        <v>0.3445074222273637</v>
      </c>
      <c r="K29" s="21">
        <f>K27/$E$27</f>
        <v>0.10000000429435121</v>
      </c>
      <c r="L29" s="21">
        <f>L27/$E$27</f>
        <v>0.10000000429435121</v>
      </c>
      <c r="M29" s="21">
        <f>M27/$E$27</f>
        <v>0.03999999858452286</v>
      </c>
    </row>
    <row r="31" spans="1:13" s="23" customFormat="1" ht="12.75">
      <c r="A31" s="129" t="s">
        <v>21</v>
      </c>
      <c r="B31" s="130"/>
      <c r="C31" s="130"/>
      <c r="D31" s="130"/>
      <c r="E31" s="130"/>
      <c r="F31" s="130"/>
      <c r="G31" s="130"/>
      <c r="H31" s="130"/>
      <c r="I31" s="130"/>
      <c r="J31" s="130"/>
      <c r="K31" s="130"/>
      <c r="L31" s="130"/>
      <c r="M31" s="131"/>
    </row>
    <row r="32" ht="12.75">
      <c r="A32" s="24"/>
    </row>
    <row r="33" spans="1:12" s="49" customFormat="1" ht="12.75" customHeight="1">
      <c r="A33" s="45" t="s">
        <v>22</v>
      </c>
      <c r="B33" s="46"/>
      <c r="C33" s="57" t="s">
        <v>94</v>
      </c>
      <c r="D33" s="58"/>
      <c r="E33" s="58"/>
      <c r="F33" s="58"/>
      <c r="G33" s="58"/>
      <c r="H33" s="58"/>
      <c r="I33" s="58"/>
      <c r="J33" s="58"/>
      <c r="K33" s="58"/>
      <c r="L33" s="58"/>
    </row>
    <row r="34" spans="1:12" s="49" customFormat="1" ht="12.75" customHeight="1">
      <c r="A34" s="45"/>
      <c r="B34" s="46"/>
      <c r="C34" s="57" t="s">
        <v>95</v>
      </c>
      <c r="D34" s="58"/>
      <c r="E34" s="58"/>
      <c r="F34" s="58"/>
      <c r="G34" s="58"/>
      <c r="H34" s="58"/>
      <c r="I34" s="58"/>
      <c r="J34" s="58"/>
      <c r="K34" s="58"/>
      <c r="L34" s="58"/>
    </row>
    <row r="35" spans="1:13" ht="6" customHeight="1">
      <c r="A35" s="25"/>
      <c r="B35" s="26"/>
      <c r="C35" s="26"/>
      <c r="D35" s="43"/>
      <c r="E35" s="43"/>
      <c r="F35" s="43"/>
      <c r="G35" s="43"/>
      <c r="H35" s="43"/>
      <c r="I35" s="43"/>
      <c r="J35" s="43"/>
      <c r="K35" s="43"/>
      <c r="L35" s="43"/>
      <c r="M35"/>
    </row>
    <row r="36" spans="1:13" ht="12.75">
      <c r="A36" s="25" t="s">
        <v>97</v>
      </c>
      <c r="B36" s="26"/>
      <c r="C36" s="26" t="s">
        <v>87</v>
      </c>
      <c r="F36" s="26"/>
      <c r="G36" s="26"/>
      <c r="H36" s="26"/>
      <c r="I36" s="26"/>
      <c r="J36" s="26"/>
      <c r="K36" s="26"/>
      <c r="L36" s="26"/>
      <c r="M36" s="26"/>
    </row>
    <row r="37" spans="1:13" ht="6" customHeight="1">
      <c r="A37" s="25"/>
      <c r="B37" s="26"/>
      <c r="C37" s="26"/>
      <c r="D37" s="26"/>
      <c r="F37" s="26"/>
      <c r="G37" s="26"/>
      <c r="H37" s="26"/>
      <c r="I37" s="26"/>
      <c r="J37" s="26"/>
      <c r="K37" s="26"/>
      <c r="L37" s="26"/>
      <c r="M37" s="26"/>
    </row>
    <row r="38" spans="1:13" ht="12.75">
      <c r="A38" s="25" t="s">
        <v>23</v>
      </c>
      <c r="B38" s="26"/>
      <c r="C38" s="57" t="s">
        <v>101</v>
      </c>
      <c r="F38" s="26"/>
      <c r="G38" s="26"/>
      <c r="H38" s="26"/>
      <c r="I38" s="26"/>
      <c r="J38" s="26"/>
      <c r="K38" s="26"/>
      <c r="L38" s="26"/>
      <c r="M38" s="26"/>
    </row>
    <row r="39" spans="1:13" ht="6" customHeight="1">
      <c r="A39" s="25"/>
      <c r="B39" s="26"/>
      <c r="C39" s="26"/>
      <c r="F39" s="26"/>
      <c r="G39" s="26"/>
      <c r="H39" s="26"/>
      <c r="I39" s="26"/>
      <c r="J39" s="26"/>
      <c r="K39" s="26"/>
      <c r="L39" s="26"/>
      <c r="M39" s="26"/>
    </row>
    <row r="40" spans="1:13" ht="12.75">
      <c r="A40" s="25" t="s">
        <v>25</v>
      </c>
      <c r="B40" s="26"/>
      <c r="C40" s="26" t="s">
        <v>64</v>
      </c>
      <c r="F40" s="27"/>
      <c r="G40" s="26"/>
      <c r="H40" s="26"/>
      <c r="I40" s="26"/>
      <c r="J40" s="26"/>
      <c r="K40" s="26"/>
      <c r="L40" s="26"/>
      <c r="M40" s="26"/>
    </row>
    <row r="41" spans="1:13" ht="12.75">
      <c r="A41" s="25"/>
      <c r="B41" s="26"/>
      <c r="C41" s="26" t="s">
        <v>63</v>
      </c>
      <c r="F41" s="27"/>
      <c r="G41" s="26"/>
      <c r="H41" s="26"/>
      <c r="I41" s="26"/>
      <c r="J41" s="26"/>
      <c r="K41" s="26"/>
      <c r="L41" s="26"/>
      <c r="M41" s="26"/>
    </row>
    <row r="42" spans="1:13" ht="6" customHeight="1">
      <c r="A42" s="25"/>
      <c r="B42" s="26"/>
      <c r="C42" s="26"/>
      <c r="F42" s="27"/>
      <c r="G42" s="26"/>
      <c r="H42" s="26"/>
      <c r="I42" s="26"/>
      <c r="J42" s="26"/>
      <c r="K42" s="26"/>
      <c r="L42" s="26"/>
      <c r="M42" s="26"/>
    </row>
    <row r="43" spans="1:13" ht="12.75">
      <c r="A43" s="25" t="s">
        <v>28</v>
      </c>
      <c r="B43" s="26"/>
      <c r="C43" s="26" t="s">
        <v>29</v>
      </c>
      <c r="F43" s="27"/>
      <c r="G43" s="26"/>
      <c r="H43" s="26"/>
      <c r="I43" s="26"/>
      <c r="J43" s="26"/>
      <c r="K43" s="26"/>
      <c r="L43" s="26"/>
      <c r="M43" s="26"/>
    </row>
    <row r="44" spans="1:13" ht="6" customHeight="1">
      <c r="A44" s="25"/>
      <c r="B44" s="26"/>
      <c r="C44" s="26"/>
      <c r="D44" s="26"/>
      <c r="F44" s="27"/>
      <c r="G44" s="26"/>
      <c r="H44" s="26"/>
      <c r="I44" s="26"/>
      <c r="J44" s="26"/>
      <c r="K44" s="26"/>
      <c r="L44" s="26"/>
      <c r="M44" s="26"/>
    </row>
    <row r="45" spans="1:12" s="49" customFormat="1" ht="12.75">
      <c r="A45" s="45" t="s">
        <v>74</v>
      </c>
      <c r="B45" s="46"/>
      <c r="C45" s="46" t="s">
        <v>103</v>
      </c>
      <c r="D45" s="47"/>
      <c r="E45" s="48"/>
      <c r="F45" s="46"/>
      <c r="G45" s="46"/>
      <c r="H45" s="46"/>
      <c r="I45" s="46"/>
      <c r="J45" s="46"/>
      <c r="K45" s="46"/>
      <c r="L45" s="46"/>
    </row>
    <row r="46" spans="1:12" s="49" customFormat="1" ht="12.75">
      <c r="A46" s="45"/>
      <c r="B46" s="46"/>
      <c r="C46" s="46" t="s">
        <v>81</v>
      </c>
      <c r="D46" s="47"/>
      <c r="E46" s="48"/>
      <c r="F46" s="46"/>
      <c r="G46" s="46"/>
      <c r="H46" s="46"/>
      <c r="I46" s="46"/>
      <c r="J46" s="46"/>
      <c r="K46" s="46"/>
      <c r="L46" s="46"/>
    </row>
    <row r="47" spans="1:12" s="49" customFormat="1" ht="12.75">
      <c r="A47" s="45"/>
      <c r="B47" s="46"/>
      <c r="C47" s="46" t="s">
        <v>82</v>
      </c>
      <c r="D47" s="47"/>
      <c r="E47" s="48"/>
      <c r="F47" s="46"/>
      <c r="G47" s="46"/>
      <c r="H47" s="46"/>
      <c r="I47" s="46"/>
      <c r="J47" s="46"/>
      <c r="K47" s="46"/>
      <c r="L47" s="46"/>
    </row>
    <row r="48" spans="1:13" ht="6" customHeight="1">
      <c r="A48" s="25"/>
      <c r="B48" s="26"/>
      <c r="C48" s="26"/>
      <c r="D48" s="26"/>
      <c r="F48" s="27"/>
      <c r="G48" s="26"/>
      <c r="H48" s="26"/>
      <c r="I48" s="26"/>
      <c r="J48" s="26"/>
      <c r="K48" s="26"/>
      <c r="L48" s="26"/>
      <c r="M48" s="26"/>
    </row>
    <row r="49" spans="1:12" s="49" customFormat="1" ht="12.75">
      <c r="A49" s="45" t="s">
        <v>30</v>
      </c>
      <c r="B49" s="46"/>
      <c r="C49" s="46" t="s">
        <v>104</v>
      </c>
      <c r="D49" s="47"/>
      <c r="E49" s="48"/>
      <c r="F49" s="46"/>
      <c r="G49" s="46"/>
      <c r="H49" s="46"/>
      <c r="I49" s="46"/>
      <c r="J49" s="46"/>
      <c r="K49" s="46"/>
      <c r="L49" s="46"/>
    </row>
    <row r="50" spans="1:12" s="49" customFormat="1" ht="12.75">
      <c r="A50" s="45"/>
      <c r="B50" s="46"/>
      <c r="C50" s="46" t="s">
        <v>105</v>
      </c>
      <c r="D50" s="47"/>
      <c r="E50" s="48"/>
      <c r="F50" s="46"/>
      <c r="G50" s="46"/>
      <c r="H50" s="46"/>
      <c r="I50" s="46"/>
      <c r="J50" s="46"/>
      <c r="K50" s="46"/>
      <c r="L50" s="46"/>
    </row>
    <row r="51" spans="1:13" ht="6" customHeight="1">
      <c r="A51" s="25"/>
      <c r="B51" s="26"/>
      <c r="C51" s="26"/>
      <c r="D51" s="26"/>
      <c r="F51" s="27"/>
      <c r="G51" s="26"/>
      <c r="H51" s="26"/>
      <c r="I51" s="26"/>
      <c r="J51" s="26"/>
      <c r="K51" s="26"/>
      <c r="L51" s="26"/>
      <c r="M51" s="26"/>
    </row>
    <row r="52" spans="1:12" s="49" customFormat="1" ht="12.75">
      <c r="A52" s="45" t="s">
        <v>86</v>
      </c>
      <c r="B52" s="46"/>
      <c r="C52" s="46" t="s">
        <v>79</v>
      </c>
      <c r="D52" s="47"/>
      <c r="E52" s="48"/>
      <c r="F52" s="46"/>
      <c r="G52" s="46"/>
      <c r="H52" s="46"/>
      <c r="I52" s="46"/>
      <c r="J52" s="46"/>
      <c r="K52" s="46"/>
      <c r="L52" s="46"/>
    </row>
    <row r="53" spans="1:12" s="49" customFormat="1" ht="12.75">
      <c r="A53" s="50"/>
      <c r="B53" s="46"/>
      <c r="C53" s="46" t="s">
        <v>80</v>
      </c>
      <c r="D53" s="47"/>
      <c r="E53" s="48"/>
      <c r="F53" s="46"/>
      <c r="G53" s="46"/>
      <c r="H53" s="46"/>
      <c r="I53" s="46"/>
      <c r="J53" s="46"/>
      <c r="K53" s="46"/>
      <c r="L53" s="46"/>
    </row>
    <row r="54" spans="1:13" ht="6" customHeight="1">
      <c r="A54" s="29"/>
      <c r="B54" s="30"/>
      <c r="C54" s="30"/>
      <c r="D54" s="30"/>
      <c r="E54" s="30"/>
      <c r="F54" s="31"/>
      <c r="G54" s="30"/>
      <c r="H54" s="30"/>
      <c r="I54" s="30"/>
      <c r="J54" s="30"/>
      <c r="K54" s="30"/>
      <c r="L54" s="30"/>
      <c r="M54" s="30"/>
    </row>
    <row r="55" spans="1:12" ht="12.75">
      <c r="A55" s="25" t="s">
        <v>51</v>
      </c>
      <c r="B55" s="26"/>
      <c r="C55" s="26" t="s">
        <v>65</v>
      </c>
      <c r="F55" s="27"/>
      <c r="G55" s="26"/>
      <c r="H55" s="26"/>
      <c r="I55" s="26"/>
      <c r="J55" s="26"/>
      <c r="K55" s="26"/>
      <c r="L55" s="26"/>
    </row>
    <row r="56" spans="1:12" ht="12.75">
      <c r="A56" s="28"/>
      <c r="B56" s="26"/>
      <c r="C56" s="26" t="s">
        <v>67</v>
      </c>
      <c r="F56" s="27"/>
      <c r="G56" s="26"/>
      <c r="H56" s="26"/>
      <c r="I56" s="26"/>
      <c r="J56" s="26"/>
      <c r="K56" s="26"/>
      <c r="L56" s="26"/>
    </row>
    <row r="57" spans="1:12" ht="12.75">
      <c r="A57" s="28"/>
      <c r="B57" s="26"/>
      <c r="C57" s="26" t="s">
        <v>66</v>
      </c>
      <c r="F57" s="27"/>
      <c r="G57" s="26"/>
      <c r="H57" s="26"/>
      <c r="I57" s="26"/>
      <c r="J57" s="26"/>
      <c r="K57" s="26"/>
      <c r="L57" s="26"/>
    </row>
    <row r="58" spans="1:13" ht="12.75">
      <c r="A58" s="29"/>
      <c r="B58" s="30"/>
      <c r="C58" s="30"/>
      <c r="D58" s="30"/>
      <c r="E58" s="30"/>
      <c r="F58" s="31"/>
      <c r="G58" s="30"/>
      <c r="H58" s="30"/>
      <c r="I58" s="30"/>
      <c r="J58" s="30"/>
      <c r="K58" s="30"/>
      <c r="L58" s="30"/>
      <c r="M58" s="30"/>
    </row>
    <row r="59" spans="1:13" s="23" customFormat="1" ht="12.75">
      <c r="A59" s="129" t="s">
        <v>31</v>
      </c>
      <c r="B59" s="130"/>
      <c r="C59" s="130"/>
      <c r="D59" s="130"/>
      <c r="E59" s="130"/>
      <c r="F59" s="130"/>
      <c r="G59" s="130"/>
      <c r="H59" s="130"/>
      <c r="I59" s="130"/>
      <c r="J59" s="130"/>
      <c r="K59" s="130"/>
      <c r="L59" s="130"/>
      <c r="M59" s="131"/>
    </row>
    <row r="60" ht="12.75">
      <c r="A60" s="24"/>
    </row>
    <row r="61" spans="1:12" ht="13.5">
      <c r="A61" s="32"/>
      <c r="E61" s="10" t="s">
        <v>9</v>
      </c>
      <c r="F61" s="128" t="s">
        <v>88</v>
      </c>
      <c r="G61" s="128"/>
      <c r="H61" s="128"/>
      <c r="I61" s="128"/>
      <c r="J61" s="10" t="s">
        <v>10</v>
      </c>
      <c r="K61" s="10" t="s">
        <v>84</v>
      </c>
      <c r="L61" s="10" t="s">
        <v>49</v>
      </c>
    </row>
    <row r="62" spans="1:12" ht="12.75">
      <c r="A62" s="35"/>
      <c r="E62" s="8" t="s">
        <v>17</v>
      </c>
      <c r="F62" s="8" t="s">
        <v>89</v>
      </c>
      <c r="G62" s="53" t="s">
        <v>90</v>
      </c>
      <c r="H62" s="36"/>
      <c r="I62" s="8" t="s">
        <v>91</v>
      </c>
      <c r="J62" s="8" t="s">
        <v>19</v>
      </c>
      <c r="K62" s="8" t="s">
        <v>85</v>
      </c>
      <c r="L62" s="8" t="s">
        <v>50</v>
      </c>
    </row>
    <row r="63" spans="2:12" ht="12.75">
      <c r="B63" s="39" t="s">
        <v>35</v>
      </c>
      <c r="C63" s="39"/>
      <c r="D63" s="39"/>
      <c r="E63" s="54">
        <v>0.41</v>
      </c>
      <c r="F63" s="54">
        <v>0.25</v>
      </c>
      <c r="G63" s="55">
        <v>0.0875</v>
      </c>
      <c r="H63" s="56"/>
      <c r="I63" s="54">
        <v>0.0125</v>
      </c>
      <c r="J63" s="54">
        <v>0.1</v>
      </c>
      <c r="K63" s="54">
        <v>0.1</v>
      </c>
      <c r="L63" s="54">
        <v>0.04</v>
      </c>
    </row>
    <row r="64" spans="2:12" ht="12.75">
      <c r="B64" s="39" t="s">
        <v>58</v>
      </c>
      <c r="C64" s="39"/>
      <c r="D64" s="39"/>
      <c r="E64" s="54">
        <v>0.48</v>
      </c>
      <c r="F64" s="54">
        <v>0.18</v>
      </c>
      <c r="G64" s="55">
        <v>0.0875</v>
      </c>
      <c r="H64" s="56"/>
      <c r="I64" s="54">
        <v>0.0125</v>
      </c>
      <c r="J64" s="54">
        <v>0.1</v>
      </c>
      <c r="K64" s="54">
        <v>0.1</v>
      </c>
      <c r="L64" s="54">
        <v>0.04</v>
      </c>
    </row>
    <row r="65" spans="2:12" ht="12.75">
      <c r="B65" s="39" t="s">
        <v>107</v>
      </c>
      <c r="C65" s="39"/>
      <c r="D65" s="39"/>
      <c r="E65" s="54">
        <v>0.52</v>
      </c>
      <c r="F65" s="54">
        <v>0.18</v>
      </c>
      <c r="G65" s="55">
        <v>0.0875</v>
      </c>
      <c r="H65" s="56"/>
      <c r="I65" s="54">
        <v>0.0125</v>
      </c>
      <c r="J65" s="54">
        <v>0.1</v>
      </c>
      <c r="K65" s="54">
        <v>0.1</v>
      </c>
      <c r="L65" s="54">
        <v>0</v>
      </c>
    </row>
    <row r="66" spans="2:12" ht="12.75">
      <c r="B66" s="39" t="s">
        <v>38</v>
      </c>
      <c r="C66" s="39"/>
      <c r="D66" s="39"/>
      <c r="E66" s="54">
        <v>0.55</v>
      </c>
      <c r="F66" s="54">
        <v>0.15</v>
      </c>
      <c r="G66" s="55">
        <v>0.0875</v>
      </c>
      <c r="H66" s="56"/>
      <c r="I66" s="54">
        <v>0.0125</v>
      </c>
      <c r="J66" s="54">
        <v>0.1</v>
      </c>
      <c r="K66" s="54">
        <v>0.1</v>
      </c>
      <c r="L66" s="54">
        <v>0</v>
      </c>
    </row>
    <row r="67" spans="2:12" ht="12.75">
      <c r="B67" s="39"/>
      <c r="C67" s="39"/>
      <c r="D67" s="39"/>
      <c r="E67" s="26"/>
      <c r="F67" s="27"/>
      <c r="G67" s="40"/>
      <c r="H67" s="26"/>
      <c r="I67" s="40"/>
      <c r="J67" s="40"/>
      <c r="K67" s="40"/>
      <c r="L67" s="40"/>
    </row>
    <row r="68" spans="1:13" s="23" customFormat="1" ht="12.75">
      <c r="A68" s="132" t="s">
        <v>43</v>
      </c>
      <c r="B68" s="133"/>
      <c r="C68" s="133"/>
      <c r="D68" s="133"/>
      <c r="E68" s="133"/>
      <c r="F68" s="133"/>
      <c r="G68" s="133"/>
      <c r="H68" s="133"/>
      <c r="I68" s="133"/>
      <c r="J68" s="133"/>
      <c r="K68" s="133"/>
      <c r="L68" s="133"/>
      <c r="M68" s="134"/>
    </row>
    <row r="69" spans="1:6" ht="9" customHeight="1">
      <c r="A69" s="24"/>
      <c r="E69"/>
      <c r="F69" s="16"/>
    </row>
    <row r="70" spans="1:13" ht="52.5" customHeight="1">
      <c r="A70" s="121" t="s">
        <v>108</v>
      </c>
      <c r="B70" s="135"/>
      <c r="C70" s="135"/>
      <c r="D70" s="135"/>
      <c r="E70" s="135"/>
      <c r="F70" s="135"/>
      <c r="G70" s="135"/>
      <c r="H70" s="135"/>
      <c r="I70" s="135"/>
      <c r="J70" s="135"/>
      <c r="K70" s="135"/>
      <c r="L70" s="135"/>
      <c r="M70" s="135"/>
    </row>
    <row r="71" spans="1:6" ht="12.75">
      <c r="A71" s="16"/>
      <c r="E71"/>
      <c r="F71" s="16"/>
    </row>
    <row r="72" spans="2:5" ht="12.75">
      <c r="B72" s="24" t="s">
        <v>44</v>
      </c>
      <c r="C72" s="24"/>
      <c r="D72" s="24"/>
      <c r="E72" s="16">
        <v>440789</v>
      </c>
    </row>
    <row r="73" spans="2:5" ht="12.75">
      <c r="B73" s="24" t="s">
        <v>45</v>
      </c>
      <c r="C73" s="24"/>
      <c r="D73" s="24"/>
      <c r="E73" s="16">
        <v>160388</v>
      </c>
    </row>
    <row r="74" spans="2:5" ht="12.75">
      <c r="B74" s="16" t="s">
        <v>46</v>
      </c>
      <c r="E74" s="16">
        <v>200392</v>
      </c>
    </row>
    <row r="75" ht="12.75">
      <c r="E75" s="16" t="s">
        <v>39</v>
      </c>
    </row>
    <row r="76" ht="12.75">
      <c r="A76" s="28" t="s">
        <v>98</v>
      </c>
    </row>
  </sheetData>
  <sheetProtection/>
  <mergeCells count="12">
    <mergeCell ref="I10:M10"/>
    <mergeCell ref="A31:M31"/>
    <mergeCell ref="A59:M59"/>
    <mergeCell ref="F61:I61"/>
    <mergeCell ref="A68:M68"/>
    <mergeCell ref="A70:M70"/>
    <mergeCell ref="A1:M1"/>
    <mergeCell ref="A2:M2"/>
    <mergeCell ref="A3:M3"/>
    <mergeCell ref="A4:M4"/>
    <mergeCell ref="A5:M5"/>
    <mergeCell ref="A8:M8"/>
  </mergeCells>
  <hyperlinks>
    <hyperlink ref="A4" r:id="rId1" display="www.batavia-downs.com"/>
  </hyperlinks>
  <printOptions/>
  <pageMargins left="0.25" right="0.25" top="0.75" bottom="0.5" header="0.5" footer="0.5"/>
  <pageSetup fitToHeight="1" fitToWidth="1" horizontalDpi="600" verticalDpi="600" orientation="portrait" scale="7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Lottery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Roddy</dc:creator>
  <cp:keywords/>
  <dc:description/>
  <cp:lastModifiedBy>Day, Zachary (GAMING)</cp:lastModifiedBy>
  <cp:lastPrinted>2022-06-07T14:30:34Z</cp:lastPrinted>
  <dcterms:created xsi:type="dcterms:W3CDTF">2007-10-10T21:03:54Z</dcterms:created>
  <dcterms:modified xsi:type="dcterms:W3CDTF">2024-04-08T18:56:53Z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